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1DD0A373-F8CE-3946-9C09-08268D2A7C23}"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T2" i="1" l="1"/>
  <c r="BF3" i="1"/>
  <c r="BT3" i="1"/>
  <c r="BF4" i="1"/>
  <c r="BT4" i="1"/>
  <c r="BF5" i="1"/>
  <c r="BT5" i="1"/>
  <c r="BF6" i="1"/>
  <c r="BT6" i="1"/>
  <c r="BF7" i="1"/>
  <c r="BT7" i="1"/>
  <c r="BT8" i="1"/>
  <c r="BF9" i="1"/>
  <c r="BT9" i="1"/>
  <c r="BF10" i="1"/>
  <c r="BT10" i="1"/>
  <c r="BT11" i="1"/>
  <c r="BF12" i="1"/>
  <c r="BT12" i="1"/>
  <c r="BF13" i="1"/>
  <c r="BT13" i="1"/>
  <c r="BF14" i="1"/>
  <c r="BT14" i="1"/>
  <c r="BF15" i="1"/>
  <c r="BT15" i="1"/>
  <c r="BF16" i="1"/>
  <c r="BT16" i="1"/>
  <c r="BF17" i="1"/>
  <c r="BT17" i="1"/>
  <c r="BF18" i="1"/>
  <c r="BT18" i="1"/>
  <c r="BF19" i="1"/>
  <c r="BT19" i="1"/>
  <c r="BF20" i="1"/>
  <c r="BT20" i="1"/>
  <c r="BF21" i="1"/>
  <c r="BT21" i="1"/>
  <c r="BT22" i="1"/>
  <c r="BF23" i="1"/>
  <c r="BT23" i="1"/>
  <c r="BF24" i="1"/>
  <c r="BT24" i="1"/>
  <c r="BF25" i="1"/>
  <c r="BT25" i="1"/>
  <c r="BF26" i="1"/>
  <c r="BT26" i="1"/>
  <c r="BF27" i="1"/>
  <c r="BT27" i="1"/>
  <c r="BF28" i="1"/>
  <c r="BT28" i="1"/>
  <c r="BF29" i="1"/>
  <c r="BT29" i="1"/>
  <c r="BF30" i="1"/>
  <c r="BT30" i="1"/>
  <c r="BT31" i="1"/>
  <c r="BF32" i="1"/>
  <c r="BT32" i="1"/>
  <c r="BF33" i="1"/>
  <c r="BT33" i="1"/>
  <c r="BF34" i="1"/>
  <c r="BT34" i="1"/>
  <c r="BF35" i="1"/>
  <c r="BT35" i="1"/>
  <c r="BF36" i="1"/>
  <c r="BT36" i="1"/>
  <c r="BF37" i="1"/>
  <c r="BT37" i="1"/>
  <c r="BF38" i="1"/>
  <c r="BT38" i="1"/>
  <c r="BF39" i="1"/>
  <c r="BT39" i="1"/>
  <c r="BF40" i="1"/>
  <c r="BT40" i="1"/>
  <c r="BT41" i="1"/>
  <c r="BF42" i="1"/>
  <c r="BT42" i="1"/>
  <c r="BF43" i="1"/>
  <c r="BT43"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T77" i="1"/>
  <c r="BF78" i="1"/>
  <c r="BT78" i="1"/>
  <c r="BT79" i="1"/>
  <c r="BF80" i="1"/>
  <c r="BT80" i="1"/>
  <c r="BT81" i="1"/>
  <c r="BF82" i="1"/>
  <c r="BT82" i="1"/>
  <c r="BF83" i="1"/>
  <c r="BT83" i="1"/>
  <c r="BF84" i="1"/>
  <c r="BT84" i="1"/>
  <c r="BF85" i="1"/>
  <c r="BT85" i="1"/>
  <c r="BF86" i="1"/>
  <c r="BT86" i="1"/>
  <c r="BF87" i="1"/>
  <c r="BT87" i="1"/>
  <c r="BT88" i="1"/>
  <c r="BF89" i="1"/>
  <c r="BT89" i="1"/>
  <c r="BF90" i="1"/>
  <c r="BT90" i="1"/>
  <c r="BT91" i="1"/>
  <c r="BF92" i="1"/>
  <c r="BT92" i="1"/>
  <c r="BF93" i="1"/>
  <c r="BT93" i="1"/>
  <c r="BF94" i="1"/>
  <c r="BT94" i="1"/>
  <c r="BF95" i="1"/>
  <c r="BT95" i="1"/>
  <c r="BF96" i="1"/>
  <c r="BT96" i="1"/>
  <c r="BT97" i="1"/>
  <c r="BF98" i="1"/>
  <c r="BT98" i="1"/>
  <c r="BF99" i="1"/>
  <c r="BT99" i="1"/>
  <c r="BF100" i="1"/>
  <c r="BT100" i="1"/>
  <c r="BF101" i="1"/>
  <c r="BT101" i="1"/>
  <c r="BT102" i="1"/>
  <c r="BF103" i="1"/>
  <c r="BT103" i="1"/>
  <c r="BT104" i="1"/>
  <c r="BT105" i="1"/>
  <c r="BF106" i="1"/>
  <c r="BT106" i="1"/>
  <c r="BF107" i="1"/>
  <c r="BT107" i="1"/>
  <c r="BF108" i="1"/>
  <c r="BT108" i="1"/>
  <c r="BF109" i="1"/>
  <c r="BT109" i="1"/>
  <c r="BF110" i="1"/>
  <c r="BT110" i="1"/>
  <c r="BF111" i="1"/>
  <c r="BT111"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T134" i="1"/>
  <c r="BF135" i="1"/>
  <c r="BT135" i="1"/>
  <c r="BF136" i="1"/>
  <c r="BT136" i="1"/>
  <c r="BT137" i="1"/>
  <c r="BF138" i="1"/>
  <c r="BT138" i="1"/>
  <c r="BF139" i="1"/>
  <c r="BT139" i="1"/>
  <c r="BF140" i="1"/>
  <c r="BT140" i="1"/>
  <c r="BF141" i="1"/>
  <c r="BT141" i="1"/>
  <c r="BF142" i="1"/>
  <c r="BT142" i="1"/>
  <c r="BF143" i="1"/>
  <c r="BT143" i="1"/>
  <c r="BF144" i="1"/>
  <c r="BT144" i="1"/>
  <c r="BF145" i="1"/>
  <c r="BT145" i="1"/>
  <c r="BF146" i="1"/>
  <c r="BT146"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T170" i="1"/>
  <c r="BF171" i="1"/>
  <c r="BT171"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T184"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T214"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T230" i="1"/>
  <c r="BF231" i="1"/>
  <c r="BT231" i="1"/>
  <c r="BF232" i="1"/>
  <c r="BT232" i="1"/>
  <c r="BF233" i="1"/>
  <c r="BT233" i="1"/>
  <c r="BT234" i="1"/>
  <c r="BF235" i="1"/>
  <c r="BT235" i="1"/>
  <c r="BF236" i="1"/>
  <c r="BT236" i="1"/>
  <c r="BT237" i="1"/>
  <c r="BF238" i="1"/>
  <c r="BT238" i="1"/>
  <c r="BT239" i="1"/>
  <c r="BF240" i="1"/>
  <c r="BT240" i="1"/>
  <c r="BF241" i="1"/>
  <c r="BT241" i="1"/>
  <c r="BF242" i="1"/>
  <c r="BT242" i="1"/>
  <c r="BF243" i="1"/>
  <c r="BT243" i="1"/>
  <c r="BF244" i="1"/>
  <c r="BT244" i="1"/>
  <c r="BF245" i="1"/>
  <c r="BT245" i="1"/>
  <c r="BF246" i="1"/>
  <c r="BT246" i="1"/>
  <c r="BF247" i="1"/>
  <c r="BT247" i="1"/>
  <c r="BF248" i="1"/>
  <c r="BT248" i="1"/>
  <c r="BT249" i="1"/>
  <c r="BF250" i="1"/>
  <c r="BT250" i="1"/>
  <c r="BF251" i="1"/>
  <c r="BT251" i="1"/>
  <c r="BF252" i="1"/>
  <c r="BT252" i="1"/>
  <c r="BF253" i="1"/>
  <c r="BT253"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T271" i="1"/>
  <c r="BF272" i="1"/>
  <c r="BT272" i="1"/>
  <c r="BT273" i="1"/>
  <c r="BF274" i="1"/>
  <c r="BT274" i="1"/>
  <c r="BF275" i="1"/>
  <c r="BT275" i="1"/>
  <c r="BF276" i="1"/>
  <c r="BT276" i="1"/>
  <c r="BF277" i="1"/>
  <c r="BT277" i="1"/>
  <c r="BF278" i="1"/>
  <c r="BT278" i="1"/>
  <c r="BF279" i="1"/>
  <c r="BT279" i="1"/>
  <c r="BF280" i="1"/>
  <c r="BT280" i="1"/>
  <c r="BF281" i="1"/>
  <c r="BT281" i="1"/>
  <c r="BF282" i="1"/>
  <c r="BT282" i="1"/>
  <c r="BF283" i="1"/>
  <c r="BT283" i="1"/>
  <c r="BT284" i="1"/>
  <c r="BF285" i="1"/>
  <c r="BT285" i="1"/>
  <c r="BF286" i="1"/>
  <c r="BT286" i="1"/>
  <c r="BT287" i="1"/>
  <c r="BF288" i="1"/>
  <c r="BT288" i="1"/>
  <c r="BF289" i="1"/>
  <c r="BT289"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T322"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T359" i="1"/>
  <c r="BF360" i="1"/>
  <c r="BT360" i="1"/>
  <c r="BF361" i="1"/>
  <c r="BT361" i="1"/>
  <c r="BF362" i="1"/>
  <c r="BT362" i="1"/>
  <c r="BF363" i="1"/>
  <c r="BT363" i="1"/>
  <c r="BF364" i="1"/>
  <c r="BT364" i="1"/>
  <c r="BF365" i="1"/>
  <c r="BT365" i="1"/>
  <c r="BF366" i="1"/>
  <c r="BT366" i="1"/>
  <c r="BF367" i="1"/>
  <c r="BT367" i="1"/>
  <c r="BF368" i="1"/>
  <c r="BT368" i="1"/>
  <c r="BT369" i="1"/>
  <c r="BT370" i="1"/>
  <c r="BF371" i="1"/>
  <c r="BT371" i="1"/>
  <c r="BF372" i="1"/>
  <c r="BT372" i="1"/>
  <c r="BF373" i="1"/>
  <c r="BT373" i="1"/>
  <c r="BF374" i="1"/>
  <c r="BT374" i="1"/>
  <c r="BF375" i="1"/>
  <c r="BT375" i="1"/>
  <c r="BF376" i="1"/>
  <c r="BT376" i="1"/>
  <c r="BT377" i="1"/>
  <c r="BF378" i="1"/>
  <c r="BT378" i="1"/>
  <c r="BF379" i="1"/>
  <c r="BT379" i="1"/>
  <c r="BF380" i="1"/>
  <c r="BT380" i="1"/>
  <c r="BF381" i="1"/>
  <c r="BT381" i="1"/>
  <c r="BF382" i="1"/>
  <c r="BT382" i="1"/>
  <c r="BF383" i="1"/>
  <c r="BT383" i="1"/>
  <c r="BF384" i="1"/>
  <c r="BT384" i="1"/>
  <c r="BF385" i="1"/>
  <c r="BT385"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T404" i="1"/>
  <c r="BT405" i="1"/>
  <c r="BF406" i="1"/>
  <c r="BT406" i="1"/>
  <c r="BF407" i="1"/>
  <c r="BT407" i="1"/>
  <c r="BT408" i="1"/>
  <c r="BF409" i="1"/>
  <c r="BT409" i="1"/>
  <c r="BF410" i="1"/>
  <c r="BT410" i="1"/>
  <c r="BF411" i="1"/>
  <c r="BT411" i="1"/>
  <c r="BF412" i="1"/>
  <c r="BT412" i="1"/>
  <c r="BF413" i="1"/>
  <c r="BT413" i="1"/>
  <c r="BF414" i="1"/>
  <c r="BT414" i="1"/>
  <c r="BF415" i="1"/>
  <c r="BT415" i="1"/>
  <c r="BT416" i="1"/>
  <c r="BT417" i="1"/>
  <c r="BT418" i="1"/>
  <c r="BF419" i="1"/>
  <c r="BT419" i="1"/>
  <c r="BF420" i="1"/>
  <c r="BT420" i="1"/>
  <c r="BF421" i="1"/>
  <c r="BT421" i="1"/>
  <c r="BF422" i="1"/>
  <c r="BT422" i="1"/>
  <c r="BT423" i="1"/>
  <c r="BF424" i="1"/>
  <c r="BT424" i="1"/>
  <c r="BF425" i="1"/>
  <c r="BT425" i="1"/>
  <c r="BF426" i="1"/>
  <c r="BT426" i="1"/>
  <c r="BF427" i="1"/>
  <c r="BT427" i="1"/>
  <c r="BF428" i="1"/>
  <c r="BT428" i="1"/>
  <c r="BF429" i="1"/>
  <c r="BT429"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T444" i="1"/>
  <c r="BF445" i="1"/>
  <c r="BT445" i="1"/>
  <c r="BF446" i="1"/>
  <c r="BT446" i="1"/>
  <c r="BF447" i="1"/>
  <c r="BT447" i="1"/>
  <c r="BF448" i="1"/>
  <c r="BT448" i="1"/>
  <c r="BF449" i="1"/>
  <c r="BT449" i="1"/>
  <c r="BT450" i="1"/>
  <c r="BF451" i="1"/>
  <c r="BT451" i="1"/>
  <c r="BF452" i="1"/>
  <c r="BT452" i="1"/>
  <c r="BT453" i="1"/>
  <c r="BF454" i="1"/>
  <c r="BT454" i="1"/>
  <c r="BT455" i="1"/>
  <c r="BT456" i="1"/>
  <c r="BF457" i="1"/>
  <c r="BT457" i="1"/>
  <c r="BF458" i="1"/>
  <c r="BT458" i="1"/>
  <c r="BF459" i="1"/>
  <c r="BT459" i="1"/>
  <c r="BF460" i="1"/>
  <c r="BT460" i="1"/>
  <c r="BF461" i="1"/>
  <c r="BT461" i="1"/>
  <c r="BT462" i="1"/>
  <c r="BF463" i="1"/>
  <c r="BT463"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T479" i="1"/>
  <c r="BT480" i="1"/>
  <c r="BF481" i="1"/>
  <c r="BT481" i="1"/>
  <c r="BF482" i="1"/>
  <c r="BT482" i="1"/>
  <c r="BF483" i="1"/>
  <c r="BT483" i="1"/>
  <c r="BF484" i="1"/>
  <c r="BT484" i="1"/>
  <c r="BF485" i="1"/>
  <c r="BT485" i="1"/>
  <c r="BF486" i="1"/>
  <c r="BT486" i="1"/>
  <c r="BF487" i="1"/>
  <c r="BT487" i="1"/>
  <c r="BF488" i="1"/>
  <c r="BT488"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T506" i="1"/>
  <c r="BT507" i="1"/>
  <c r="BF508" i="1"/>
  <c r="BT508" i="1"/>
  <c r="BF509" i="1"/>
  <c r="BT509" i="1"/>
  <c r="BF510" i="1"/>
  <c r="BT510" i="1"/>
  <c r="BF511" i="1"/>
  <c r="BT511" i="1"/>
  <c r="BF512" i="1"/>
  <c r="BT512" i="1"/>
  <c r="BF513" i="1"/>
  <c r="BT513" i="1"/>
  <c r="BF514" i="1"/>
  <c r="BT514" i="1"/>
  <c r="BF515" i="1"/>
  <c r="BT515" i="1"/>
  <c r="BT516" i="1"/>
  <c r="BF517" i="1"/>
  <c r="BT517" i="1"/>
  <c r="BF518" i="1"/>
  <c r="BT518" i="1"/>
  <c r="BF519" i="1"/>
  <c r="BT519" i="1"/>
  <c r="BF520" i="1"/>
  <c r="BT520" i="1"/>
  <c r="BF521" i="1"/>
  <c r="BT521" i="1"/>
  <c r="BF522" i="1"/>
  <c r="BT522" i="1"/>
  <c r="BF523" i="1"/>
  <c r="BT523"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T536" i="1"/>
  <c r="BF537" i="1"/>
  <c r="BT537" i="1"/>
  <c r="BT538" i="1"/>
  <c r="BT539" i="1"/>
  <c r="BF540" i="1"/>
  <c r="BT540" i="1"/>
  <c r="BT541" i="1"/>
  <c r="BF542" i="1"/>
  <c r="BT542" i="1"/>
  <c r="BF543" i="1"/>
  <c r="BT543" i="1"/>
  <c r="BF544" i="1"/>
  <c r="BT544" i="1"/>
  <c r="BF545" i="1"/>
  <c r="BT545" i="1"/>
  <c r="BT546" i="1"/>
  <c r="BF547" i="1"/>
  <c r="BT547" i="1"/>
  <c r="BT548" i="1"/>
  <c r="BF549" i="1"/>
  <c r="BT549" i="1"/>
  <c r="BF550" i="1"/>
  <c r="BT550" i="1"/>
  <c r="BF551" i="1"/>
  <c r="BT551" i="1"/>
  <c r="BF552" i="1"/>
  <c r="BT552" i="1"/>
  <c r="BF553" i="1"/>
  <c r="BT553" i="1"/>
  <c r="BF554" i="1"/>
  <c r="BT554" i="1"/>
  <c r="BT555" i="1"/>
  <c r="BT556" i="1"/>
  <c r="BT557" i="1"/>
  <c r="BF558" i="1"/>
  <c r="BT558" i="1"/>
  <c r="BF559" i="1"/>
  <c r="BT559" i="1"/>
  <c r="BF560" i="1"/>
  <c r="BT560" i="1"/>
  <c r="BF561" i="1"/>
  <c r="BT561" i="1"/>
  <c r="BF562" i="1"/>
  <c r="BT562" i="1"/>
  <c r="BF563" i="1"/>
  <c r="BT563" i="1"/>
  <c r="BF564" i="1"/>
  <c r="BT564"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T585" i="1"/>
  <c r="BF586" i="1"/>
  <c r="BT586" i="1"/>
  <c r="BF587" i="1"/>
  <c r="BT587" i="1"/>
  <c r="BF588" i="1"/>
  <c r="BT588" i="1"/>
  <c r="BF589" i="1"/>
  <c r="BT589" i="1"/>
  <c r="BF590" i="1"/>
  <c r="BT590"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T608" i="1"/>
  <c r="BF609" i="1"/>
  <c r="BT609" i="1"/>
  <c r="BF610" i="1"/>
  <c r="BT610" i="1"/>
  <c r="BF611" i="1"/>
  <c r="BT611" i="1"/>
  <c r="BF612" i="1"/>
  <c r="BT612" i="1"/>
  <c r="BT613"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T632"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T663" i="1"/>
  <c r="BT664"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T681" i="1"/>
  <c r="BF682" i="1"/>
  <c r="BT682" i="1"/>
  <c r="BF683" i="1"/>
  <c r="BT683" i="1"/>
  <c r="BF684" i="1"/>
  <c r="BT684" i="1"/>
  <c r="BF685" i="1"/>
  <c r="BT685" i="1"/>
  <c r="BF686" i="1"/>
  <c r="BT686" i="1"/>
  <c r="BF687" i="1"/>
  <c r="BT687" i="1"/>
  <c r="BF688" i="1"/>
  <c r="BT688" i="1"/>
  <c r="BF689" i="1"/>
  <c r="BT689" i="1"/>
  <c r="BF690" i="1"/>
  <c r="BT690" i="1"/>
  <c r="BT691" i="1"/>
  <c r="BF692" i="1"/>
  <c r="BT692" i="1"/>
  <c r="BT693" i="1"/>
  <c r="BT694" i="1"/>
  <c r="BF695" i="1"/>
  <c r="BT695" i="1"/>
  <c r="BF696" i="1"/>
  <c r="BT696" i="1"/>
  <c r="BF697" i="1"/>
  <c r="BT697" i="1"/>
  <c r="BF698" i="1"/>
  <c r="BT698" i="1"/>
  <c r="BF699" i="1"/>
  <c r="BT699" i="1"/>
  <c r="BF700" i="1"/>
  <c r="BT700" i="1"/>
  <c r="BF701" i="1"/>
  <c r="BT701" i="1"/>
  <c r="BF702" i="1"/>
  <c r="BT702" i="1"/>
  <c r="BF703" i="1"/>
  <c r="BT703" i="1"/>
  <c r="BT704" i="1"/>
  <c r="BF705" i="1"/>
  <c r="BT705" i="1"/>
  <c r="BT706" i="1"/>
  <c r="BT707" i="1"/>
  <c r="BF708" i="1"/>
  <c r="BT708"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T742" i="1"/>
  <c r="BF743" i="1"/>
  <c r="BT743" i="1"/>
  <c r="BF744" i="1"/>
  <c r="BT744" i="1"/>
  <c r="BT745" i="1"/>
  <c r="BF746" i="1"/>
  <c r="BT746" i="1"/>
  <c r="BF747" i="1"/>
  <c r="BT747" i="1"/>
  <c r="BT748" i="1"/>
  <c r="BF749" i="1"/>
  <c r="BT749" i="1"/>
  <c r="BT750" i="1"/>
  <c r="BF751" i="1"/>
  <c r="BT751" i="1"/>
  <c r="BF752" i="1"/>
  <c r="BT752" i="1"/>
  <c r="BF753" i="1"/>
  <c r="BT753"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T768" i="1"/>
  <c r="BF769" i="1"/>
  <c r="BT769" i="1"/>
  <c r="BF770" i="1"/>
  <c r="BT770" i="1"/>
  <c r="BF771" i="1"/>
  <c r="BT771" i="1"/>
  <c r="BF772" i="1"/>
  <c r="BT772" i="1"/>
  <c r="BF773" i="1"/>
  <c r="BT773" i="1"/>
  <c r="BF774" i="1"/>
  <c r="BT774" i="1"/>
  <c r="BF775" i="1"/>
  <c r="BT775" i="1"/>
  <c r="BF776" i="1"/>
  <c r="BT776"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T794" i="1"/>
  <c r="BF795" i="1"/>
  <c r="BT795" i="1"/>
  <c r="BF796" i="1"/>
  <c r="BT796" i="1"/>
  <c r="BF797" i="1"/>
  <c r="BT797" i="1"/>
  <c r="BF798" i="1"/>
  <c r="BT798" i="1"/>
  <c r="BF799" i="1"/>
  <c r="BT799" i="1"/>
  <c r="BF800" i="1"/>
  <c r="BT800" i="1"/>
  <c r="BF801" i="1"/>
  <c r="BT801" i="1"/>
  <c r="BF802" i="1"/>
  <c r="BT802" i="1"/>
  <c r="BT803" i="1"/>
  <c r="BT804" i="1"/>
  <c r="BF805" i="1"/>
  <c r="BT805" i="1"/>
  <c r="BF806" i="1"/>
  <c r="BT806" i="1"/>
  <c r="BF807" i="1"/>
  <c r="BT807" i="1"/>
  <c r="BF808" i="1"/>
  <c r="BT808" i="1"/>
  <c r="BF809" i="1"/>
  <c r="BT809" i="1"/>
  <c r="BF810" i="1"/>
  <c r="BT810" i="1"/>
  <c r="BF811" i="1"/>
  <c r="BT811"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T834" i="1"/>
  <c r="BF835" i="1"/>
  <c r="BT835" i="1"/>
  <c r="BF836" i="1"/>
  <c r="BT836" i="1"/>
  <c r="BT837" i="1"/>
  <c r="BF838" i="1"/>
  <c r="BT838"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T874" i="1"/>
  <c r="BF875" i="1"/>
  <c r="BT875" i="1"/>
  <c r="BF876" i="1"/>
  <c r="BT876" i="1"/>
  <c r="BT877" i="1"/>
  <c r="BF878" i="1"/>
  <c r="BT878" i="1"/>
  <c r="BF879" i="1"/>
  <c r="BT879" i="1"/>
  <c r="BF880" i="1"/>
  <c r="BT880" i="1"/>
  <c r="BT881" i="1"/>
  <c r="BF882" i="1"/>
  <c r="BT882" i="1"/>
  <c r="BF883" i="1"/>
  <c r="BT883" i="1"/>
  <c r="BT884"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T916"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T929" i="1"/>
  <c r="BT930" i="1"/>
  <c r="BT931" i="1"/>
  <c r="BT932" i="1"/>
  <c r="BT933" i="1"/>
  <c r="BT934" i="1"/>
  <c r="BT935" i="1"/>
  <c r="BT936" i="1"/>
  <c r="BT937" i="1"/>
  <c r="BT938" i="1"/>
  <c r="BT939" i="1"/>
  <c r="BT940" i="1"/>
  <c r="BT941" i="1"/>
  <c r="BF942" i="1"/>
  <c r="BT942" i="1"/>
  <c r="BF943" i="1"/>
  <c r="BT943" i="1"/>
  <c r="BT944" i="1"/>
  <c r="BF945" i="1"/>
  <c r="BT945"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T986" i="1"/>
  <c r="BF987" i="1"/>
  <c r="BT987" i="1"/>
  <c r="BT988" i="1"/>
  <c r="BF989" i="1"/>
  <c r="BT989" i="1"/>
  <c r="BT990" i="1"/>
  <c r="BT991" i="1"/>
  <c r="BT992" i="1"/>
  <c r="BT993" i="1"/>
  <c r="BT994" i="1"/>
  <c r="BT995" i="1"/>
  <c r="BT996" i="1"/>
  <c r="BT997" i="1"/>
  <c r="BT998" i="1"/>
  <c r="BT999" i="1"/>
  <c r="BT1000" i="1"/>
  <c r="BT1001" i="1"/>
</calcChain>
</file>

<file path=xl/sharedStrings.xml><?xml version="1.0" encoding="utf-8"?>
<sst xmlns="http://schemas.openxmlformats.org/spreadsheetml/2006/main" count="59326" uniqueCount="13219">
  <si>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</si>
  <si>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</si>
  <si>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</si>
  <si>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</si>
  <si>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</si>
  <si>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</si>
  <si>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</si>
  <si>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</si>
  <si>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</si>
  <si>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</si>
  <si>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</si>
  <si>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</si>
  <si>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</si>
  <si>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</si>
  <si>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</si>
  <si>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</si>
  <si>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</si>
  <si>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</si>
  <si>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</si>
  <si>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</si>
  <si>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</si>
  <si>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</si>
  <si>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</si>
  <si>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</si>
  <si>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</si>
  <si>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</si>
  <si>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</si>
  <si>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</si>
  <si>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</si>
  <si>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</si>
  <si>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</si>
  <si>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</si>
  <si>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</si>
  <si>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</si>
  <si>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</si>
  <si>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</si>
  <si>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</si>
  <si>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</si>
  <si>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</si>
  <si>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</si>
  <si>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</si>
  <si>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</si>
  <si>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</si>
  <si>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</si>
  <si>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</si>
  <si>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</si>
  <si>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</si>
  <si>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</si>
  <si>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</si>
  <si>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</si>
  <si>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</si>
  <si>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</si>
  <si>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</si>
  <si>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</si>
  <si>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</si>
  <si>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</si>
  <si>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</si>
  <si>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</si>
  <si>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</si>
  <si>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</si>
  <si>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</si>
  <si>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</si>
  <si>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</si>
  <si>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</si>
  <si>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</si>
  <si>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</si>
  <si>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</si>
  <si>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</si>
  <si>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</si>
  <si>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</si>
  <si>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</si>
  <si>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</si>
  <si>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</si>
  <si>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[Anonymous]</t>
  </si>
  <si>
    <t/>
  </si>
  <si>
    <t>Scallop clue to Antarctic warming</t>
  </si>
  <si>
    <t>MARINE POLLUTION BULLETIN</t>
  </si>
  <si>
    <t>English</t>
  </si>
  <si>
    <t>News Item</t>
  </si>
  <si>
    <t>PERGAMON-ELSEVIER SCIENCE LTD</t>
  </si>
  <si>
    <t>OXFORD</t>
  </si>
  <si>
    <t>THE BOULEVARD, LANGFORD LANE, KIDLINGTON, OXFORD OX5 1GB, ENGLAND</t>
  </si>
  <si>
    <t>0025-326X</t>
  </si>
  <si>
    <t>1879-3363</t>
  </si>
  <si>
    <t>MAR POLLUT BULL</t>
  </si>
  <si>
    <t>Mar. Pollut. Bull.</t>
  </si>
  <si>
    <t>DEC</t>
  </si>
  <si>
    <t>Environmental Sciences; Marine &amp; Freshwater Biology</t>
  </si>
  <si>
    <t>Science Citation Index Expanded (SCI-EXPANDED)</t>
  </si>
  <si>
    <t>Environmental Sciences &amp; Ecology; Marine &amp; Freshwater Biology</t>
  </si>
  <si>
    <t>507VP</t>
  </si>
  <si>
    <t>2024-04-21</t>
  </si>
  <si>
    <t>WOS:000173052200013</t>
  </si>
  <si>
    <t>Nelson, CS; Cooke, PJ</t>
  </si>
  <si>
    <t>History of oceanic front development in the New Zealand sector of the Southern Ocean during the Cenozoic - a synthesis</t>
  </si>
  <si>
    <t>NEW ZEALAND JOURNAL OF GEOLOGY AND GEOPHYSICS</t>
  </si>
  <si>
    <t>Review</t>
  </si>
  <si>
    <t>New Zealand; Southwest Pacific; Antarctica; Southern Ocean; Cenozoic; paleoclimate; paleoceanography; oceanic fronts; DSDP cores; ice sheets</t>
  </si>
  <si>
    <t>SOUTHWEST PACIFIC OCEANS; MARSHALL PARACONFORMITY; SUBTROPICAL CONVERGENCE; MICRO-FOSSILS; OLIGOCENE; EVOLUTION; MIOCENE; CIRCULATION; SHELF; PALEOTEMPERATURES</t>
  </si>
  <si>
    <t>The New Zealand sector of the Southern Ocean (NZSSO) has opened about the Indian-Pacific spreading ridge throughout the Cenozoic. Today the NZSSO is characterised by broad zonal belts of antarctic (cold), subantarctic (cool), and subtropical (warm) surface-water masses separated by prominent oceanic fronts: the Subtropical Front (STF) c. 43degreesS, Subantarctic Front (SAF) c. 50degreesS, and Antarctic Polar Front (AAPF) c. 60degreesS. Despite a meagre database, the broad pattern of Cenozoic evolution of these fronts is reviewed from the results of Deep Sea Drilling Project-based studies of sediment facies, microfossil assemblages and diversity, and stable isotope records, as well as from evidence in onland New Zealand Cenozoic sequences. Results are depicted schematically on seven paleogeographic maps covering the NZSSO at 10 m.y. intervals through the Cenozoic. During the Paleocene and most of the Eocene (65-35 Ma), the entire NZSSO was under the influence of warm to cool subtropical waters, with no detectable oceanic fronts. In the latest Eocene (c. 35 Ma), a proto-STF is shown separating subantarctic and subtropical waters offshore from Antarctica, near 65degreesS paleolatitude. During the earliest Oligocene, this front was displaced northwards by development of an AAPF following major global cooling and biotic turnover associated with ice sheet expansion to sea level on East Antarctica. Early Oligocene full opening (c. 31 Ma) of the Tasmanian gateway initiated vigorous proto-circum-Antarctic flow of cold/cool waters, possibly through a West Antarctic seaway linking the southern Pacific and Atlantic Oceans, including detached northwards jetting onto the New Zealand plateau where condensation and unconformity development was widespread in cool-water carbonate facies. Since this time, a broad tripartite division of antarctic, subantarctic, and subtropical waters has existed in the NZSSO, including possible development of a proto-SAF within the subantarctic belt. In the Early-early Middle Miocene (25-15 Ma), warns subtropical waters expanded southwards into the northern NZSSO, possibly associated with reduced ice volume on East Antarctica but particularly with restriction of the Indonesian gateway and redirection of intensified warn surface flows southwards into the Tasman Sea, as well as complete opening of the Drake gateway by 23 Ma allowing more complete decoupling of cool circum-Antarctic flow from the subtropical waters. During the late Middle-Late Miocene (15-5 Ma), both the STF and SAF proper were established in their present relative positions across and about the Campbell Plateau, respectively, accompanying renewed ice buildup on East Antarctica and formation of a permanent ice sheet on West Antarctica, as well as generally more expansive and intensified circum-Antarctic flow. The ultimate control on the history of oceanic front development in the NZSSO has been plate tectonics through its influence on the paleogeographic changes of the Australian-New Zealand-Antarctic continents and their intervening oceanic basins, the timing of opening and closing of critical seaways, the potential for submarine ridges and plateaus to exert some bathymetric control on the location of fronts, and the evolving ice budget on the Antarctic continent. The broad trends of the Cenozoic climate curve for New Zealand deduced from fossil evidence in the uplifted marine sedimentary record correspond well to the principal paleoceanographic events controlling the evolution and migration of the oceanic fronts in the NZSSO.</t>
  </si>
  <si>
    <t>Univ Waikato, Dept Earth Sci, Hamilton, New Zealand</t>
  </si>
  <si>
    <t>University of Waikato</t>
  </si>
  <si>
    <t>Univ Waikato, Dept Earth Sci, Private Bag 3105, Hamilton, New Zealand.</t>
  </si>
  <si>
    <t>c.nelson@waikato.ac.nz</t>
  </si>
  <si>
    <t>TAYLOR &amp; FRANCIS LTD</t>
  </si>
  <si>
    <t>ABINGDON</t>
  </si>
  <si>
    <t>2-4 PARK SQUARE, MILTON PARK, ABINGDON OR14 4RN, OXON, ENGLAND</t>
  </si>
  <si>
    <t>0028-8306</t>
  </si>
  <si>
    <t>1175-8791</t>
  </si>
  <si>
    <t>NEW ZEAL J GEOL GEOP</t>
  </si>
  <si>
    <t>N. Z. J. Geol. Geophys.</t>
  </si>
  <si>
    <t>10.1080/00288306.2001.9514954</t>
  </si>
  <si>
    <t>Geology; Geosciences, Multidisciplinary</t>
  </si>
  <si>
    <t>Geology</t>
  </si>
  <si>
    <t>513PW</t>
  </si>
  <si>
    <t>Green Submitted, Bronze</t>
  </si>
  <si>
    <t>WOS:000173387900005</t>
  </si>
  <si>
    <t>Stolarski, RS</t>
  </si>
  <si>
    <t>History of the study of atmospheric ozone</t>
  </si>
  <si>
    <t>OZONE-SCIENCE &amp; ENGINEERING</t>
  </si>
  <si>
    <t>Article</t>
  </si>
  <si>
    <t>ozone; atmospheric ozone; stratospheric ozone; ozone destruction; ozone layer</t>
  </si>
  <si>
    <t>ANTARCTIC OZONE; STRATOSPHERE; CHLORINE; DESTRUCTION; SINK</t>
  </si>
  <si>
    <t>Ozone is a substance that touches on our modem society in many ways. Ozone is used in industrial processes and as a disinfectant. Ozone is a strong oxidizing agent that is present in photochemical smog. Ozone in the stratosphere screens the surface of the earth from biologically damaging ultraviolet radiation. All of these uses emerge from our basic understanding of ozone that began with the recognition by Schonbein in 1840 that ozone was a unique substance produced in a variety of processes.</t>
  </si>
  <si>
    <t>NASA, Goddard Space Flight Ctr, Greenbelt, MD 20771 USA</t>
  </si>
  <si>
    <t>National Aeronautics &amp; Space Administration (NASA); NASA Goddard Space Flight Center</t>
  </si>
  <si>
    <t>Stolarski, RS (corresponding author), NASA, Goddard Space Flight Ctr, Greenbelt, MD 20771 USA.</t>
  </si>
  <si>
    <t>Stolarski, Richard S/B-8499-2013</t>
  </si>
  <si>
    <t>LEWIS PUBLISHERS</t>
  </si>
  <si>
    <t>BOCA RATON</t>
  </si>
  <si>
    <t>2000 CORPORATE BLVD, NW, BOCA RATON, FL 33431 USA</t>
  </si>
  <si>
    <t>0191-9512</t>
  </si>
  <si>
    <t>OZONE-SCI ENG</t>
  </si>
  <si>
    <t>Ozone-Sci. Eng.</t>
  </si>
  <si>
    <t>10.1080/01919510108962025</t>
  </si>
  <si>
    <t>Engineering, Environmental; Environmental Sciences</t>
  </si>
  <si>
    <t>Engineering; Environmental Sciences &amp; Ecology</t>
  </si>
  <si>
    <t>509QV</t>
  </si>
  <si>
    <t>WOS:000173161900001</t>
  </si>
  <si>
    <t>Katz, ME; Cramer, BS; Mountain, GS; Katz, S; Miller, KG</t>
  </si>
  <si>
    <t>Uncorking the bottle: What triggered the Paleocene/Eocene thermal maximum methane release?</t>
  </si>
  <si>
    <t>PALEOCEANOGRAPHY</t>
  </si>
  <si>
    <t>UPPER CONTINENTAL RISE; GAS HYDRATE; SEISMIC STRATIGRAPHY; MARINE-SEDIMENTS; NEW-JERSEY; DEEP; DISSOCIATION; END; FORAMINIFERS; EXTINCTION</t>
  </si>
  <si>
    <t>The Paleocene/Eocene thermal maximum (PETM) was a time of rapid global warming in both marine and continental realms that has been attributed to a massive methane (CH4) release from marine gas hydrate reservoirs. Previously proposed mechanisms for this methane release rely on a change in deepwater source region(s) to increase water temperatures rapidly enough to trigger the massive thermal dissociation of gas hydrate reservoirs beneath the seafloor. To establish constraints on thermal dissociation, we model heat flow through the sediment column and show the effect of the temperature change on the gas hydrate stability zone through time. In addition, we provide seismic evidence tied to borehole data for methane release along portions of the U.S. continental slope; the release sites are proximal to a buried Mesozoic reef front. Our model results, release site locations, published isotopic records, and ocean circulation models neither confirm nor refute thermal dissociation as the trigger for the PETM methane release. In the absence of definitive evidence to confirm thermal dissociation, we investigate an alternative hypothesis in which continental slope failure resulted in a catastrophic methane release. Seismic and isotopic evidence indicates that Antarctic source deepwater circulation and seafloor erosion caused slope retreat along the western margins of the North Atlantic in the late Paleocene. Continued erosion or seismic activity along the oversteepened continental margin may have allowed methane to escape from gas reservoirs trapped between the frozen hydrate-bearing sediments and the underlying buried Mesozoic reef front, precipitating the Paleocene/Eocene boundary methane release. An important implication of this scenario is that the methane release caused (rather than resulted from) the transient temperature increase of the PETM. Neither thermal dissociation nor mechanical disruption of sediments can be identified unequivocally as the triggering mechanism for methane release with existing data. Further documentation with high-resolution benthic foraminiferal isotopic records and with seismic profiles tied to borehole data is needed to clarify whether erosion, thermal dissociation, or a combination of these two was the triggering mechanism for the PETM methane</t>
  </si>
  <si>
    <t>Rutgers State Univ, Dept Geol Sci, Piscataway, NJ 08854 USA; Columbia Univ, Lamont Doherty Earth Observ, Palisades, NY 10964 USA; Rensselaer Polytech Inst, Dept Earth &amp; Environm Sci, Troy, NY 12181 USA</t>
  </si>
  <si>
    <t>Rutgers University System; Rutgers University New Brunswick; Columbia University; Rensselaer Polytechnic Institute</t>
  </si>
  <si>
    <t>Rutgers State Univ, Dept Geol Sci, Piscataway, NJ 08854 USA.</t>
  </si>
  <si>
    <t>mkatz@ldeo.columbia.edu</t>
  </si>
  <si>
    <t>Cramer, Benjamin S/A-5303-2008</t>
  </si>
  <si>
    <t>AMER GEOPHYSICAL UNION</t>
  </si>
  <si>
    <t>WASHINGTON</t>
  </si>
  <si>
    <t>2000 FLORIDA AVE NW, WASHINGTON, DC 20009 USA</t>
  </si>
  <si>
    <t>0883-8305</t>
  </si>
  <si>
    <t>1944-9186</t>
  </si>
  <si>
    <t>Paleoceanography</t>
  </si>
  <si>
    <t>10.1029/2000PA000615</t>
  </si>
  <si>
    <t>Geosciences, Multidisciplinary; Oceanography; Paleontology</t>
  </si>
  <si>
    <t>Geology; Oceanography; Paleontology</t>
  </si>
  <si>
    <t>504NZ</t>
  </si>
  <si>
    <t>WOS:000172863900001</t>
  </si>
  <si>
    <t>Poulsen, CJ; Barron, EJ; Arthur, MA; Peterson, WH</t>
  </si>
  <si>
    <t>Response of the mid-Cretaceous global oceanic circulation to tectonic and CO2 forcings</t>
  </si>
  <si>
    <t>CENOMANIAN-TURONIAN BOUNDARY; GENERAL-CIRCULATION; NORTH-ATLANTIC; MULTIPLE EQUILIBRIA; CRETACEOUS CLIMATE; ATMOSPHERIC CO2; SOUTH-ATLANTIC; HEAT-TRANSPORT; BLACK SHALES; MODEL</t>
  </si>
  <si>
    <t>The mid-Cretaceous was a period of unusually active tectonism that drove enhanced volcanic outgassing and high seafloor spreading rates. This intense tectonic activity is coincident with dramatic events in the marine environment, including oceanic anoxic events I (Aptian-Early Albian) and 2 (Cenomanian/Turonian boundary), high biological turnover rates, and a thermal maximum. In this study, a series of mid-Cretaceous ocean general circulation model experiments were completed using the Parallel Ocean Climate Model. These experiments demonstrate the effect of enhanced atmospheric CO2 concentrations and paleogeographic change on the global oceanic circulation. The experiments reveal that paleogeography, specifically the presence/absence of a marine connection between the North Atlantic and South Atlantic basins, may have governed the nature of the mid-Cretaceous global oceanic circulation. In the absence of this connection, an Albian simulation is characterized by extremely warm, saline conditions throughout the North Atlantic and northern South Atlantic Oceans. With a gateway in a Turonian simulation, Antarctic Bottom Water ventilates the Atlantic basins. In both Albian and Turonian simulations the Pacific-Indian basins are dominated by thermohaline circulation with deep water sources in the Southern Ocean. While atmospheric CO2 concentrations influence the global temperature and salinity, an increase from present-day to 4 times present-day levels alters the global circulation very little. Differences between the Albian and Turonian numerical simulations agree well with aspects of the marine record, supporting speculation that the climatic and oceanographic changes surrounding the Cenomanian-Turonian boundary were driven by the initiation of a connection between the Atlantic Oceans.</t>
  </si>
  <si>
    <t>Univ So Calif, Dept Earth Sci, Los Angeles, CA 90089 USA; Penn State Univ, EMS Environm Inst, University Pk, PA 16802 USA; Penn State Univ, Dept Geosci, University Pk, PA 16802 USA</t>
  </si>
  <si>
    <t>University of Southern California;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</si>
  <si>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Poulsen, CJ (corresponding author), Univ So Calif, Dept Earth Sci, Los Angeles, CA 90089 USA.</t>
  </si>
  <si>
    <t>poulsen@usc.edu</t>
  </si>
  <si>
    <t>Arthur, Michael A/E-2872-2014; Poulsen, Chris/C-6213-2009</t>
  </si>
  <si>
    <t>Poulsen, Chris/0000-0001-5104-4271</t>
  </si>
  <si>
    <t>10.1029/2000PA000579</t>
  </si>
  <si>
    <t>Bronze</t>
  </si>
  <si>
    <t>WOS:000172863900003</t>
  </si>
  <si>
    <t>Bauer, R; Worland, MR; Block, W</t>
  </si>
  <si>
    <t>Experimental studies on cold survival of enchytraeid cocoons</t>
  </si>
  <si>
    <t>PEDOBIOLOGIA</t>
  </si>
  <si>
    <t>enchytraeidae; cocoons; differential scanning calorimetry; supercooling ability; desiccation; acclimation</t>
  </si>
  <si>
    <t>SPECIES OLIGOCHAETA; HARDINESS; TOLERANCE; ANNELIDA; FOOD; SOIL</t>
  </si>
  <si>
    <t>The effect of different culture methods, cold acclimation and desiccation on the supercooling point (SCP), the melting point (MP) of fluids and the quantity of water freezing (osmotically active water) was investigated in individual cocoons of Enchytraeus crypticus and an undescribed Enchytraeus species using differential scanning calorimetry (DSC) techniques. Both species can be easily cultured in the laboratory in agar where the development and hatching of the worms can be observed. Culture methods (agar with nettle leaves or oats as food and wet filter paper without food supply) had a significant effect on fresh weight and SCP of E. crypticus cocoons. The water content (as a proportion of fresh weight) was slightly lower in the cocoons from the wet filter paper cultures. Acclimation at -3 degreesC did not affect the supercooling ability of E. crypticus cocoons, whereas the SCP of E. sp.1 cocoons was lowered from a mean of -8.7 to -12.4 degreesC. The supercooling ability of cocoons of E. crypticus was only slightly increased by desiccation and cold acclimation, but the quantity of frozen water was significantly reduced with acclimation and desiccation (2 and 3 min) at room temperature. The MP values of the cocoon fluids reflected these changes in both species. No cocoons of E. crypticus and E. sp.1 survived desiccation and freezing in our experiments and no worms of Enchytraeus albidus, E. crypticus and Henlea perpusilla survived freezing to -10 or -20 degreesC.</t>
  </si>
  <si>
    <t>Univ Agr Sci, Inst Zool, A-1180 Vienna, Austria; British Antarctic Survey, NERC, Cambridge CB3 0ET, England</t>
  </si>
  <si>
    <t>BOKU University; UK Research &amp; Innovation (UKRI); Natural Environment Research Council (NERC); NERC British Antarctic Survey</t>
  </si>
  <si>
    <t>Bauer, R (corresponding author), Univ Agr Sci, Inst Zool, Gregor Mendel Str 33, A-1180 Vienna, Austria.</t>
  </si>
  <si>
    <t>URBAN &amp; FISCHER VERLAG</t>
  </si>
  <si>
    <t>JENA</t>
  </si>
  <si>
    <t>BRANCH OFFICE JENA, P O BOX 100537, D-07705 JENA, GERMANY</t>
  </si>
  <si>
    <t>0031-4056</t>
  </si>
  <si>
    <t>Pedobiologia</t>
  </si>
  <si>
    <t>10.1078/0031-4056-00107</t>
  </si>
  <si>
    <t>Ecology; Soil Science</t>
  </si>
  <si>
    <t>Environmental Sciences &amp; Ecology; Agriculture</t>
  </si>
  <si>
    <t>503GN</t>
  </si>
  <si>
    <t>WOS:000172790900007</t>
  </si>
  <si>
    <t>Gambi, MC; Patti, FP; Micaletto, G; Giangrande, A</t>
  </si>
  <si>
    <t>Diversity of reproductive features in some Antarctic polynoid and sabellid polychaetes, with a description of Demonax polarsterni sp n. (Polychaeta, Sabellidae)</t>
  </si>
  <si>
    <t>POLAR BIOLOGY</t>
  </si>
  <si>
    <t>PERKINSIANA POLYCHAETA; MARINE-INVERTEBRATES; BIOLOGY</t>
  </si>
  <si>
    <t>The Polynoidae and Sabellidae represent two polychaete families with contrasting life habits and different phylogenetic constraints. Species of both families studied in this work were collected on the shelf of the Eastern Weddell Sea (Antarctica) during the EASIZ-I (1996) and EASIZ-II (1998) expeditions. Among the Polynoidae, three different species of the genus Harmothoe were observed to brood eggs under the dorsal elytra, which is an uncommon feature in this family. The egg size of all brooding taxa ranged between 120 and 216 mum. Three Sabellidae species were studied: Myxicola cf sulcata is gonochoric with eggs among the largest (up to 1000 mum) recorded for the sabellids. Eggs, as well as larvae. are incubated within the branchial crown, a feature newly discovered for the genus Myxicola. Demonax polarsterni n. sp. (a newly discovered taxon) and Euchone pallida are gonochoric and possess relatively large eggs (350 mum and 270 mum, respectively). In comparison with cogeneric species of temperate areas. the Antarctic Sabellidae have larger egg dimensions and egg brooding that seems unconstrained by adult size.</t>
  </si>
  <si>
    <t>Staz Zool Anton Dohrn, Lab Ecol Benthos, I-80077 Naples, Italy; Univ Lecce, Dipartimento Biol, I-73100 Lecce, Italy</t>
  </si>
  <si>
    <t>Stazione Zoologica Anton Dohrn di Napoli; University of Salento</t>
  </si>
  <si>
    <t>Gambi, MC (corresponding author), Staz Zool Anton Dohrn, Lab Ecol Benthos, I-80077 Naples, Italy.</t>
  </si>
  <si>
    <t>gambimc@alpha.szn.it</t>
  </si>
  <si>
    <t>Gambi, Maria Cristina/AFO-0958-2022; Patti, Francesco Paolo/L-7040-2014; Gambi, Maria Cristina/L-8246-2014</t>
  </si>
  <si>
    <t>Gambi, Maria Cristina/0000-0002-0168-776X; Giangrande, Adriana/0000-0003-4531-2377</t>
  </si>
  <si>
    <t>SPRINGER-VERLAG</t>
  </si>
  <si>
    <t>NEW YORK</t>
  </si>
  <si>
    <t>175 FIFTH AVE, NEW YORK, NY 10010 USA</t>
  </si>
  <si>
    <t>0722-4060</t>
  </si>
  <si>
    <t>POLAR BIOL</t>
  </si>
  <si>
    <t>Polar Biol.</t>
  </si>
  <si>
    <t>Biodiversity Conservation; Ecology</t>
  </si>
  <si>
    <t>Biodiversity &amp; Conservation; Environmental Sciences &amp; Ecology</t>
  </si>
  <si>
    <t>499EF</t>
  </si>
  <si>
    <t>WOS:000172557500002</t>
  </si>
  <si>
    <t>Jazdzewski, K; De Broyer, C; Pudlarz, M; Zielinski, D</t>
  </si>
  <si>
    <t>Seasonal fluctuations of vagile benthos in the uppermost sublittoral of a maritime Antarctic fjord</t>
  </si>
  <si>
    <t>SOUTH-SHETLAND-ISLANDS; KING-GEORGE-ISLAND; ADMIRALTY BAY; ZOOBENTHOS; BIOMASS</t>
  </si>
  <si>
    <t>Quantitative samples of benthos were taken on a stony beach in the maritime Antarctic (Admiralty Bay. King George Island. South Shetland Islands) during a complete annual cycle. The sampled habitat consisted of cobbles lying on sand and gravel in the fringe between the littoral and sublittoral zones, samples were always taken at low tide just below the water line. In this habitat. abundant macroalgal detritus was observed between stones. This stony beach appeared to be very rich in vagile fauna settled between and under stones. Macrobenthos consisted mainly of amphipods (ca. 85% of total number), gastropods (11%) and nemerteans (3%). The abundance of whole macrofauna ranged to over 50.000 ind. m(2) and its biomass over 600 g m(-2) (FW). Seven species of Amphipoda and four species of Gastropoda were found. Amphipoda were dominated by Gondogeneia antarctica (over 70% of all amphipods) and Paramoera edouardi (over 20%), whereas among gastropods Laevilitorina antarctica prevailed (over 70%). Unexpectedly high abundance and biomass of Amphipoda were observed in the first half of winter (May/July). surpassing otherwise important summer amphipod abundance. The probable reason for this phenomenon could be high autumn abundance of decaying algae oil the beach in he tidal zone. providing detritus that is probably the main food source for Amphipoda.</t>
  </si>
  <si>
    <t>Univ Lodz, Lab Polar Biol &amp; Oceanobiol, Dept Invertebrate Zool &amp; Geol, PL-90237 Lodz, Poland; Inst Royal Sci Nat Belgique, Dept Invertebrates, B-1000 Brussels, Belgium</t>
  </si>
  <si>
    <t>University of Lodz</t>
  </si>
  <si>
    <t>Jazdzewski, K (corresponding author), Univ Lodz, Lab Polar Biol &amp; Oceanobiol, Dept Invertebrate Zool &amp; Geol, 12-16 Banacha St, PL-90237 Lodz, Poland.</t>
  </si>
  <si>
    <t>10.1007/s003000100299</t>
  </si>
  <si>
    <t>WOS:000172557500005</t>
  </si>
  <si>
    <t>Lee, HJ; Vanhove, S; Peck, LS; Vincx, M</t>
  </si>
  <si>
    <t>Recolonisation of meiofauna after catastrophic iceberg scouring in shallow Antarctic sediments</t>
  </si>
  <si>
    <t>MARINE NEMATODE ASSEMBLAGES; MATURITY INDEX; SIGNY ISLAND; DISTURBANCE; ENVIRONMENT; COLONIZATION; COMMUNITY; DIVERSITY; IMPACTS; BAY</t>
  </si>
  <si>
    <t>A series of 10 samples from sediment in and adjacent to a shallow coastal iceberg scour at Signy Island. Antarctica. were taken by hand coring from 17 December 1993 until 23 August 1994. Scouring by the iceberg led to more than a 95% decrease in meiofaunal abundance and to a certain degree of reduction in diversity. Nematodes were always the most dominant group of meiofauna. The return of major meiofauna groups to control levels was accomplished in 30 days, although a decrease in abundance on the 50th day made interpretation difficult. The pioneering meiofaunal colonisers were copepods and ostracods. followed by nematodes. Microlaimus sp.1 was dominant among the nematodes throughout the whole period. Epistratum feeders and non-selective deposit feeders were highly dominant over selective deposit feeders and predators/omnivores. The Maturity Index. a measure for stress within nematode communities. was relatively low at all times and in controls, which indicates that r-strategists prevail in this community. In spite of the catastrophic destruction, nematode community structure was not affected by the iceberg impact. and there was no evidence of succession during recovery. This suggests that the nematode community in the shallow subtidal coast at Signy Island is well adapted to ice disturbance.</t>
  </si>
  <si>
    <t>State Univ Ghent, Dept Biol, Marine Biol Sect, B-9000 Ghent, Belgium; British Antarctic Survey, Nat Environm Res Council, Cambridge CB3 0ET, England</t>
  </si>
  <si>
    <t>Ghent University; UK Research &amp; Innovation (UKRI); Natural Environment Research Council (NERC); NERC British Antarctic Survey</t>
  </si>
  <si>
    <t>Lee, HJ (corresponding author), State Univ Ghent, Dept Biol, Marine Biol Sect, KL Ledeganckstr 35, B-9000 Ghent, Belgium.</t>
  </si>
  <si>
    <t>10.1007/s003000100300</t>
  </si>
  <si>
    <t>WOS:000172557500006</t>
  </si>
  <si>
    <t>Lee, HJ; Gerdes, D; Vanhove, S; Vincx, M</t>
  </si>
  <si>
    <t>Meiofauna response to iceberg disturbance on the Antarctic continental shelf at Kapp Norvegia (Weddell Sea)</t>
  </si>
  <si>
    <t>NEMATODE ASSEMBLAGES; MATURITY INDEX; DEEP-SEA; COMMUNITIES; ENVIRONMENT; SEDIMENT; SITES</t>
  </si>
  <si>
    <t>The impact of iceberg scouring on meiofauna communities. especially nematodes. was studied on the Kapp Norvegia shelf in the Weddell Sea. Antarctica. Three stations with different stages of recolonisation following scour were selected on the basis of seafloor video images, sediment characteristics and faunal occurrences. These stations comprised a fresh scour, an older scour. and an undisturbed control site where a sponge spicule mat covered the sediment with dense epifauna. Meiofaunal abundance and taxonomic diversity of meiofauna groups were significantly reduced in the fresh scour. The highest abundance and diversity were found in the older scour as compared with the undisturbed site. The abundance and diversity of nematodes also decreased due to scouring. The abundance in the older scour recovered to the level of the undisturbed site whereas the diversity remained low. Scouring also changed the nematode community structure, with the suborders Desmoscolecina and Leptolaimina as the most sensitive groups. In addition, scouring resulted in the decrease of selective deposit feeders and the Maturity Index. The low diversity and the change in nematode generic composition in the older scour compared with the undisturbed site. despite the Complete recovery in terms of abundance, suggest that the deep continental shelf nematode community in this area is sensitive to iceberg disturbance.</t>
  </si>
  <si>
    <t>State Univ Ghent, Marine Biol Sect, Dept Biol, B-9000 Ghent, Belgium; Alfred Wegener Inst Polar &amp; Marine Res, D-27568 Bremerhaven, Germany</t>
  </si>
  <si>
    <t>Ghent University; Helmholtz Association; Alfred Wegener Institute, Helmholtz Centre for Polar &amp; Marine Research</t>
  </si>
  <si>
    <t>Lee, HJ (corresponding author), State Univ Ghent, Marine Biol Sect, Dept Biol, KL Ledeganckstr 35, B-9000 Ghent, Belgium.</t>
  </si>
  <si>
    <t>WOS:000172557500007</t>
  </si>
  <si>
    <t>Frati, F; Spinsanti, G; Dallai, R</t>
  </si>
  <si>
    <t>Genetic variation of mtCOII gene sequences in the collembolan Isotoma klovstadi from Victoria Land, Antarctica: evidence for population differentiation</t>
  </si>
  <si>
    <t>OXIDASE II GENE; MOLECULAR PHYLOGENY; EVOLUTION; DIVERSITY; ENVIRONMENT; INSECTA; NUCLEAR; ORIGIN; ACARI</t>
  </si>
  <si>
    <t>The extreme Antarctic environment influences the population structure of soil microarthropods, which are often patchily distributed along the deglaciated coasts. As a consequence of the low dispersal capabilities of these organisms. populations are effectively isolated from one another. We tested the effects of the Antarctic environment on the genetic structure of microarthropod populations by analysing mitochondrial COII gene sequences in 40 individuals from 4 distinct populations of the collembolan Isotoma klovstadi collected in Victoria Land. Eighteen different haplotypes were found. 17 of which were only found in single populations. Information derived from the number of haplotypes and their sequence divergence suggests that the populations from Cape Jones and Crater Cirque are the most uniform. We conclude that. although gene flow might have been higher in the past, populations of I. klovstadi are presently quite isolated from one another. providing potentially suitable conditions for microspeciation processes.</t>
  </si>
  <si>
    <t>Univ Siena, Dept Evolut Biol, I-53100 Siena, Italy</t>
  </si>
  <si>
    <t>University of Siena</t>
  </si>
  <si>
    <t>Frati, F (corresponding author), Univ Siena, Dept Evolut Biol, Via PA Mattioli 4, I-53100 Siena, Italy.</t>
  </si>
  <si>
    <t>frati@unisi.it</t>
  </si>
  <si>
    <t>Dallai, Romano/0000-0002-2258-8891</t>
  </si>
  <si>
    <t>SPRINGER</t>
  </si>
  <si>
    <t>ONE NEW YORK PLAZA, SUITE 4600, NEW YORK, NY, UNITED STATES</t>
  </si>
  <si>
    <t>1432-2056</t>
  </si>
  <si>
    <t>10.1007/s003000100302</t>
  </si>
  <si>
    <t>WOS:000172557500008</t>
  </si>
  <si>
    <t>León, TM</t>
  </si>
  <si>
    <t>Synopsis of the pycnogonids from Antarctic and Subantarctic waters</t>
  </si>
  <si>
    <t>PANTOPODA</t>
  </si>
  <si>
    <t>This work summarizes existing knowledge on the faunal history, biodiversity and biogeography of the Antarctic and Subantarctic pycnogonids. It refers to material sampled between 1829 and 1999 from more than 40 expeditions run by 14 countries, and published in 75 papers. Up to now, 31 genera and 25 species have been recorded from a total of about 38,000 specimens captured at 2,000 stations. They constitute 38.75% and 21.5%, respectively, of the 80 genera and 1,164 species recorded worldwide. One hundred and twenty species have been found in Antarctic, 71 in Subantarctic waters, and 60 species in both zones, yielding an endemicity for the entire area of over 80%. Fifty five species revealed a circumpolar distribution and 161 were found mainly on the shelf. The Antarctic Ocean is suggested to be a centre of pycnogonid speciation and dispersion.</t>
  </si>
  <si>
    <t>Univ Autonoma Barcelona, Unidad Zool, E-08193 Barcelona, Spain</t>
  </si>
  <si>
    <t>Autonomous University of Barcelona</t>
  </si>
  <si>
    <t>Tomas.Munilla@blues.uab.es</t>
  </si>
  <si>
    <t>10.1007/s003000100305</t>
  </si>
  <si>
    <t>WOS:000172557500009</t>
  </si>
  <si>
    <t>Ohtani, N; Haruki, M; Morikawa, M; Kanaya, S</t>
  </si>
  <si>
    <t>Heat labile ribonuclease HI from a psychrotrophic bacterium: gene cloning, characterization and site-directed mutagenesis</t>
  </si>
  <si>
    <t>PROTEIN ENGINEERING</t>
  </si>
  <si>
    <t>cold-adaptation; psychrotroph; ribonuclease H; site-directed mutagenesis; thermal stability</t>
  </si>
  <si>
    <t>COLD-ADAPTED ENZYMES; ESCHERICHIA-COLI; RNASE-H; ANTARCTIC BACTERIUM; PROTEIN; STABILIZATION; SUBSTITUTIONS; PURIFICATION; EXPRESSION; MECHANISM</t>
  </si>
  <si>
    <t>The rnhA gene encoding RNase HI from a psychrotrophic bacterium, Shewanella sp. SIB1, was cloned, sequenced and overexpressed in an rnh mutant strain of Escherichia coli. SIB1 RNase HI is composed of 157 amino acid residues and shows 63% amino acid sequence identity to E.coli RNase HI. Upon induction, the recombinant protein accumulated in the cells in an insoluble form. This protein was solubilized and purified in the presence of 7 M urea and refolded by removing urea. Determination of the enzymatic activity using M13 DNA-RNA hybrid as a substrate revealed that the enzymatic properties of SIB 1 RNase HI, such as divalent cation requirement, pH optimum and cleavage mode of a substrate, are similar to those of E.coli RNase HI. However, SIB1 RNase HI was much less stable than E.coli RNase HI and the temperature (T-1/2) at which the enzyme loses half of its activity upon incubation for 10 min was similar to25degreesC for SIB1 RNase HI and similar to60degreesC for E.coli RNase HI. The optimum temperature for the SIB1. RNase HI activity was also shifted downward by 20 C compared with that of E.coli RNase HI. Nevertheless, SIB1. RNase HI was less active than E.coli RNase HI even at low temperatures. The specific activity determined at 10 C was 0.29 units/mg for SIB1 RNase HI and 1.3 units/mg for E.coli RNase HI. Site-directed mutagenesis studies suggest that the amino acid substitution in the middle of the alphaI-helix (Pro52 for SIB1 RNase HI and Ala52 for E.coli RNase HI) partly accounts for the difference in the stability and activity between SIB1 and E.coli RNases HI.</t>
  </si>
  <si>
    <t>Osaka Univ, Grad Sch Engn, Dept Mat &amp; Life Sci, Suita, Osaka 5650871, Japan</t>
  </si>
  <si>
    <t>Osaka University</t>
  </si>
  <si>
    <t>Kanaya, S (corresponding author), Osaka Univ, Grad Sch Engn, Dept Mat &amp; Life Sci, 2-1 Yamadaoka, Suita, Osaka 5650871, Japan.</t>
  </si>
  <si>
    <t>Morikawa, Masaaki/ABB-7052-2021; Morikawa, Masaaki/L-2823-2015</t>
  </si>
  <si>
    <t>Morikawa, Masaaki/0000-0003-1547-8069;</t>
  </si>
  <si>
    <t>OXFORD UNIV PRESS</t>
  </si>
  <si>
    <t>GREAT CLARENDON ST, OXFORD OX2 6DP, ENGLAND</t>
  </si>
  <si>
    <t>0269-2139</t>
  </si>
  <si>
    <t>PROTEIN ENG</t>
  </si>
  <si>
    <t>Protein Eng.</t>
  </si>
  <si>
    <t>10.1093/protein/14.12.975</t>
  </si>
  <si>
    <t>Biochemistry &amp; Molecular Biology; Biotechnology &amp; Applied Microbiology</t>
  </si>
  <si>
    <t>521CU</t>
  </si>
  <si>
    <t>WOS:000173821900005</t>
  </si>
  <si>
    <t>Zhang, XJ; Yao, TD; Ma, XJ; Wang, NL</t>
  </si>
  <si>
    <t>Analysis of the characteristics of microorganisms packed in the ice core of Malan glacier, Tibet, China</t>
  </si>
  <si>
    <t>SCIENCE IN CHINA SERIES D-EARTH SCIENCES</t>
  </si>
  <si>
    <t>ice core; microorganisms; genera</t>
  </si>
  <si>
    <t>LAKE VOSTOK; SEA-ICE; ANTARCTICA; BACTERIA; RECORD</t>
  </si>
  <si>
    <t>Glacier is a special medium which can conserve a long time chronological information of microorganism. As a preliminary research, from Ice Core3 of Malan glacier (91degrees45.3' E, 35degrees48.4' N; drilled at 5620 m a.s.l.), we successfully isolated live microorganisms. 75 strains of bacteria in 10 genera and 6 strains of actinomycetes in 2 genera were isolated from 23 samples. 32 strains bacteria were identified to be Bacillus and 25 strains were B.circulans, B.firmus, B.subtilis and B. alvei. The genera of bacteria in Malan ice core were similar to that in Greenland and Antarctic ice core. We cannot isolate fungi and alga from Malan ice core, although they are widely distributed in Greenland and Antarctica.</t>
  </si>
  <si>
    <t>Chinese Acad Sci, Cold &amp; Arid Reg Environm Engn Res Inst, Lab Ice Core &amp; Cold Reg Environm, Lanzhou 730000, Peoples R China; Lanzhou Univ, Sch Life Sci, Lanzhou 730000, Peoples R China</t>
  </si>
  <si>
    <t>Chinese Academy of Sciences; Cold &amp; Arid Regions Environmental &amp; Engineering Research Institute, CAS; Lanzhou University</t>
  </si>
  <si>
    <t>Zhang, XJ (corresponding author), Chinese Acad Sci, Cold &amp; Arid Reg Environm Engn Res Inst, Lab Ice Core &amp; Cold Reg Environm, Lanzhou 730000, Peoples R China.</t>
  </si>
  <si>
    <t>Zhang, Xiaojun/C-4053-2008</t>
  </si>
  <si>
    <t>SCIENCE CHINA PRESS</t>
  </si>
  <si>
    <t>BEIJING</t>
  </si>
  <si>
    <t>16 DONGHUANGCHENGGEN NORTH ST, BEIJING 100717, PEOPLES R CHINA</t>
  </si>
  <si>
    <t>1006-9313</t>
  </si>
  <si>
    <t>SCI CHINA SER D</t>
  </si>
  <si>
    <t>Sci. China Ser. D-Earth Sci.</t>
  </si>
  <si>
    <t>S</t>
  </si>
  <si>
    <t>10.1007/BF02912008</t>
  </si>
  <si>
    <t>Geosciences, Multidisciplinary</t>
  </si>
  <si>
    <t>544VF</t>
  </si>
  <si>
    <t>WOS:000175181800044</t>
  </si>
  <si>
    <t>Cristo, M</t>
  </si>
  <si>
    <t>Gut evacuation rates in Nephrops norvegicus (L., 1758):: laboratory and field estimates</t>
  </si>
  <si>
    <t>SCIENTIA MARINA</t>
  </si>
  <si>
    <t>gut evacuation rates; Nephrops norvegicus; feeding ecology</t>
  </si>
  <si>
    <t>PLEURONECTES-PLATESSA L; CLEARANCE RATE-CONSTANT; GASTRIC EVACUATION; DAILY RATION; FOOD-CONSUMPTION; PIGMENT DESTRUCTION; FEEDING ECOLOGY; ANTARCTIC KRILL; TEMPERATURE; DECAPODA</t>
  </si>
  <si>
    <t>Estimates of gut evacuation rates of Nephrops norvegicus (Linnaeus, 1758) (Crustacea, Decapoda) were obtained during laboratory and field experiments. Individuals were collected off the south coast of Portugal in December 1997 and July 1998. Gut evacuation rates (R.h(-1)) were calculated from the slope of the regression of the natural logarithm of dry stomach content weight versus time, using data obtained by the serial slaughter method. The values obtained during laboratory (R = 0.172 h(-1)) and field experiments (R = 0.177 h(-1)) are compared with gut evacuation rates reported for other marine organisms. The results obtained for both experiments are within the range of the values in the literature, even in the case in which different methodologies were used.</t>
  </si>
  <si>
    <t>Univ Algarve, CCMAR, P-8000 Faro, Portugal</t>
  </si>
  <si>
    <t>Universidade do Algarve</t>
  </si>
  <si>
    <t>Univ Algarve, CCMAR, Campus Gambelas, P-8000 Faro, Portugal.</t>
  </si>
  <si>
    <t>mcristo@ualg.pt</t>
  </si>
  <si>
    <t>Cristo, Margarida/M-3778-2013</t>
  </si>
  <si>
    <t>Cristo, Margarida/0000-0002-4449-0019</t>
  </si>
  <si>
    <t>CONSEJO SUPERIOR INVESTIGACIONES CIENTIFICAS-CSIC</t>
  </si>
  <si>
    <t>MADRID</t>
  </si>
  <si>
    <t>VITRUVIO 8, 28006 MADRID, SPAIN</t>
  </si>
  <si>
    <t>0214-8358</t>
  </si>
  <si>
    <t>1886-8134</t>
  </si>
  <si>
    <t>SCI MAR</t>
  </si>
  <si>
    <t>Sci. Mar.</t>
  </si>
  <si>
    <t>10.3989/scimar.2001.65n4341</t>
  </si>
  <si>
    <t>Marine &amp; Freshwater Biology</t>
  </si>
  <si>
    <t>515QB</t>
  </si>
  <si>
    <t>Green Submitted, gold</t>
  </si>
  <si>
    <t>WOS:000173505900008</t>
  </si>
  <si>
    <t>López-González, PJ; Bresciani, J</t>
  </si>
  <si>
    <t>New Antarctic records of Herpyllobius Steenstrup and Lutken, 1861 (parasitic Copepoda) from the EASIZ-III cruise, with description of two new species</t>
  </si>
  <si>
    <t>parasitic Copepoda; Herpyllobiidae; Herpyllobius; Antarctica</t>
  </si>
  <si>
    <t>FAMILY</t>
  </si>
  <si>
    <t>Two new species of the genus Herpyllobius Steenstrup and Lutken, 1861, H. vanhoeffeni, and H. luetzeni are described associated with polynoid polychaetes collected during the EASIZ III cruise in the Bransfield Strait, Antarctic Peninsula. New records of Herpyllobius antarcticus Vanhoffen, 1913, and H. polarsterni Lopez-Gonzalez et al., 2000 from Antarctic Peninsula and Eastern Weddell Sea are also given. Including the present records, 17 species of Herpyllobius are now known, I I of which having been reported from the Southern Hemisphere. The ordinal position of the Herpyllobiidae is discussed according to phylogenetic inferences from the antennular ontogenetic features of the copepodid males of two of the three known genera in the family, Herpyllobius and Eurysilenium Sars, 1870.</t>
  </si>
  <si>
    <t>Univ Seville, Fac Biol, Dept Fisiol &amp; Zool, Seville 41012, Spain; Royal Vet &amp; Agr Univ, Dept Zool, DK-1871 Frederiksberg C, Denmark</t>
  </si>
  <si>
    <t>University of Sevilla; University of Copenhagen</t>
  </si>
  <si>
    <t>pjlopez@us.es; job@kvl.dk</t>
  </si>
  <si>
    <t>Lopez-González, Pablo J./Y-6440-2018</t>
  </si>
  <si>
    <t>Lopez-González, Pablo J./0000-0002-7348-6270</t>
  </si>
  <si>
    <t>10.3989/scimar.2001.65n4357</t>
  </si>
  <si>
    <t>Green Submitted, gold, Green Published</t>
  </si>
  <si>
    <t>WOS:000173505900010</t>
  </si>
  <si>
    <t>Ovstedal, DO; Gremmen, NJM</t>
  </si>
  <si>
    <t>The lichens of Marion and Prince Edward Islands</t>
  </si>
  <si>
    <t>SOUTH AFRICAN JOURNAL OF BOTANY</t>
  </si>
  <si>
    <t>GENUS</t>
  </si>
  <si>
    <t>A total of 100 lichen species are listed for the islands. Six species are described as new to science: Arctomia subantarctica Ovstedal, Arthothelium evanescens Ovstedal, Coccotrema stellata Ovstedal, Ramonia subantarctica Ovstedal, Thelocarpon subantarcticum Ovstedal and Verrucaria umbilicata Ovstedal. Four new combinations are made: Amandinea subplicata (Nyl.) Ovstedal, Poeltinula cerebrinella (Nyl.) Ovstedal, Verrucaria nigra (Mull. Arg.) Ovstedal (from Cape Horn) and Verrucaria tesselata (Dodge) Ovstedal (from Heard Island). One third of the islands' lichen species also occur in the Northern Hemisphere. Of the Southern Hemisphere species, 24 are exclusively known from areas to the east of the islands (Kerguelen Province Islands, Australia, New Zealand, contrasting to only six species recorded exclusively to the west (South Georgia, Antarctic Peninsula). This suggests a distribution against the present predominantly westerly winds. The large number of seemingly endemic species Is suggested to indicate the incomplete knowledge of the lichen floras of the sub-Antarctic Islands.</t>
  </si>
  <si>
    <t>Univ Bergen, Inst Bot, N-5007 Bergen, Norway</t>
  </si>
  <si>
    <t>University of Bergen</t>
  </si>
  <si>
    <t>Bur Data Anal Ecol, Hesselsstr 11, NL-7981 CD Diever, Netherlands.</t>
  </si>
  <si>
    <t>gremmen@wxs.nl</t>
  </si>
  <si>
    <t>ELSEVIER</t>
  </si>
  <si>
    <t>AMSTERDAM</t>
  </si>
  <si>
    <t>RADARWEG 29, 1043 NX AMSTERDAM, NETHERLANDS</t>
  </si>
  <si>
    <t>0254-6299</t>
  </si>
  <si>
    <t>1727-9321</t>
  </si>
  <si>
    <t>S AFR J BOT</t>
  </si>
  <si>
    <t>S. Afr. J. Bot.</t>
  </si>
  <si>
    <t>10.1016/S0254-6299(15)31187-X</t>
  </si>
  <si>
    <t>Plant Sciences</t>
  </si>
  <si>
    <t>513BC</t>
  </si>
  <si>
    <t>hybrid</t>
  </si>
  <si>
    <t>WOS:000173357200006</t>
  </si>
  <si>
    <t>Smith, VR; Steenkamp, M; Gremmen, NJM</t>
  </si>
  <si>
    <t>Terrestrial habitats on sub-Antarctic Marion Island: their vegetation, edaphic attributes, distribution and response to climate change</t>
  </si>
  <si>
    <t>SOUTHERN-OCEAN ISLANDS; NUTRIENT DYNAMICS; PLANT-COMMUNITIES; STANDING CROP; FERAL CATS; IMPACTS; MICE</t>
  </si>
  <si>
    <t>The vegetation, soil chemistry characteristics and altitudinal distributions of 23 habitats in 7 habitat complexes on sub-Antarctic Marion Island (47degreesS, 38degreesE) are described. The habitat complexes (number of habitats In complex) are: Coastal Salt-spray Complex (2); Fellfield Complex (2); Slope Complex (6); Biotic Grassland Complex (3); Biotic Herbfield Complex (3); Mire Complex (6); Polar Desert Complex (1). The habitat classification closely reflects the between-habitat variation in the relative magnitudes of the main forcing variables that determine ecological succession on the island (moisture, exposure, parent soil material, salt-spray and manuring and trampling by seals and seabirds). Hence, it can serve as a framework against which to detect and evaluate ecological responses to the marked climatic change currently occurring in the sub-Antarctic. Suggestions are made on how the habitats might respond to climatic change (warming, drying) and other perturbations (increasing or decreasing influences of salt-spray and manuring).</t>
  </si>
  <si>
    <t>Univ Stellenbosch, Dept Bot, ZA-7602 Matieland, South Africa</t>
  </si>
  <si>
    <t>Stellenbosch University</t>
  </si>
  <si>
    <t>Smith, VR (corresponding author), Univ Stellenbosch, Dept Bot, Private Bag 1, ZA-7602 Matieland, South Africa.</t>
  </si>
  <si>
    <t>NATL INQUIRY SERVICES CENTRE PTY LTD</t>
  </si>
  <si>
    <t>GRAHAMSTOWN</t>
  </si>
  <si>
    <t>22 SOMERSET ST, PO BOX 377, GRAHAMSTOWN 6140, SOUTH AFRICA</t>
  </si>
  <si>
    <t>10.1016/S0254-6299(15)31195-9</t>
  </si>
  <si>
    <t>WOS:000173357200014</t>
  </si>
  <si>
    <t>Luyendyk, BP; Sorlien, CC; Wilson, DS; Bartek, LR; Siddoway, CS</t>
  </si>
  <si>
    <t>Structural and tectonic evolution of the Ross Sea rift in the Cape Colbeck region, Eastern Ross Sea, Antarctica</t>
  </si>
  <si>
    <t>TECTONICS</t>
  </si>
  <si>
    <t>MARIE-BYRD-LAND; MANTLE-PLUME ACTIVITY; NORTHERN FORD-RANGES; NEW-ZEALAND REGION; WEST ANTARCTICA; LOW-RELIEF; GEOCHRONOLOGY; MOTION; CONSTRAINTS; EXTENSION</t>
  </si>
  <si>
    <t>The far eastern continental shelf of the Ross Sea, Antarctica, has been relatively unexplored up to now. This region and western Marie Byrd Land are at the eastern limit of the Ross Sea rift, part of the West Antarctic rift system, one of the larger regions of extended crust in the world. The Ross Sea continental shelf west of Cape Colbeck and the Edward VII Peninsula in western Marie Byrd Land was investigated using marine geophysics during cruise 9601 of the research vessel ice breaker Nathaniel B. Palmer. The purpose was to determine the structural framework and tectonic history of the eastern border of the Ross Sea rift and to integrate this with what is known about western Marie Byrd Land. The region mapped is characterized by a passive margin with a flat overdeepened shelf cut by the north trending Colbeck Trough, an erosional feature formed in Miocene and later time by glacial downcutting that followed the locations of existing basement structures. Seismic sequences and unconformities identified in the Ross Sea were correlated into the Colbeck shelf area. The section comprises mostly undeformed glacial marine sequences of late Oligocene and younger age that are unconformably overlying late Early to Late Cretaceous and minor early Tertiary (?) faulted sequences. This unconformity is identified as RSU6, mapped elsewhere in the eastern Ross Sea. Two units are found below RSU6, each separated by an unconformity that is here named RSU7. These sequences fill north trending half grabens in the faulted basement and are interpreted as syn rift units. Unconformity RSU7 is correlated to the West Antarctic Erosion Surface mapped onshore in western Marie Byrd Land. The lack of thick early Tertiary sediments on the shelf suggests significant vertical tectonics. This onshore and offshore region was widely faulted in late Early and Late Cretaceous time, was high above sea level and was beveled by prolonged erosion, while subsiding steadily in Late Cretaceous and Cenozoic time. Subsidence was largely due to lithosphere cooling amplified later by glacial and sediment loading in Cenozoic time. Mylonites that have late Early Cretaceous cooling ages were dredged from the southeast wall of the Colbeck Trough. This finding and normal faults that we mapped in the eastern Ross Sea we attribute to detachment-style extension in late Early Cretaceous time. This extension was directed subparallel to the trend of the present margin edge and occurred prior to the rifting of Campbell Plateau from Marie Byrd Land at similar to 79 Ma. Cooling events onshore western Marie Byrd Land suggest the main extension began at similar to 105 Ma. This is also the time of transition from subduction to extension elsewhere along the ancient Gondwana margin. Minor west tilting of the shelf during the late Cenozoic was the result of continued subsidence of the continental shelf along with possible uplift of western Marie Byrd Land associated with the Marie Byrd Land dome to the east. Early Tertiary extension in the western Ross Sea rift is not strongly reflected in the east side of the rift. A more robust correlation of the events here with the better known tectonic history on the west side of the Ross Sea rift awaits sampling and dating of the units we mapped on the Colbeck shelf.</t>
  </si>
  <si>
    <t>Univ Calif Santa Barbara, Dept Geol Sci, Santa Barbara, CA 93106 USA; Univ Calif Santa Barbara, Inst Crustal Studies, Santa Barbara, CA 93106 USA; Univ Calif Santa Barbara, Inst Marine Sci, Santa Barbara, CA 93106 USA; Univ Alabama, Dept Geol, Tuscaloosa, AL 35487 USA; Colorado Coll, Dept Geol, Colorado Springs, CO 80903 USA</t>
  </si>
  <si>
    <t>University of California System; University of California Santa Barbara; University of California System; University of California Santa Barbara; University of California System; University of California Santa Barbara; University of Alabama System; University of Alabama Tuscaloosa; Colorado College</t>
  </si>
  <si>
    <t>Univ Calif Santa Barbara, Dept Geol Sci, 1006 Webb Hall, Santa Barbara, CA 93106 USA.</t>
  </si>
  <si>
    <t>luyendyk@geol.ucsb.edu; sorlien@ideo.colombia.edu; wilson@magic.geol.ucsb.edu; bartek@email.unc.edu; csiddoway@rikki.cc.colorado.edu</t>
  </si>
  <si>
    <t>Siddoway, Christine/HKV-0895-2023</t>
  </si>
  <si>
    <t>Siddoway, Christine Smith/0000-0003-0478-6138</t>
  </si>
  <si>
    <t>0278-7407</t>
  </si>
  <si>
    <t>1944-9194</t>
  </si>
  <si>
    <t>Tectonics</t>
  </si>
  <si>
    <t>10.1029/2000TC001260</t>
  </si>
  <si>
    <t>Geochemistry &amp; Geophysics</t>
  </si>
  <si>
    <t>504EX</t>
  </si>
  <si>
    <t>WOS:000172845300008</t>
  </si>
  <si>
    <t>De Grave, S; Barnes, DKA</t>
  </si>
  <si>
    <t>Ecology of tropical hermit crabs (Crustacea Decapoda) at Quirimba Island, Mozambique: a multivariate assemblage perspective</t>
  </si>
  <si>
    <t>TROPICAL ZOOLOGY</t>
  </si>
  <si>
    <t>hermit crabs; ecology; Mozambique; macrohabitat segregation; assemblage structure</t>
  </si>
  <si>
    <t>SHELL UTILIZATION; INTERSPECIFIC COMPETITION; CLIBANARIUS-LAEVIMANUS; UTILIZATION PATTERNS; PAGURUS-LONGICARPUS; GASTROPOD SHELLS; MANGROVE SWAMP; ANOMURA; TEMPERATURE; COEXISTENCE</t>
  </si>
  <si>
    <t>The assemblage organisation and macrohabitat segregation patterns of an intertidal assemblage of hermit crabs was studied at the Quirimba Archipelago in northern Mozambique. The assemblage exhibits a strong tidal zonation Pattern, with different species dominating the studied tidal zones. Superimposed onto this, is a macrohabitat segregation pattern. Coastal features such as presence/absence of sandy beaches or mangroves explained the presence/absence of certain species, e.g. Coenobita rugosus H. Milne Edwards 1837 and C. cavipes Stimpson 1858. Smaller islands with less heterogeneous shores (mostly reef) were dominated by Clibanarius virescens (Krauss 1843). Larger islands with a range of macrohabitats (mangrove, sand, reef, seagrass, rock) had more complex patterns. Within each tidal zone, at least two distinct assemblage groups are recognised, due to differential species presence/absence patterns and differences in abundance of the constituent species. Superimposed onto these two patterns, is a further pattern of island size, with in the majority of cases, the within-zone habitat segregation pattern corresponding to a dichotomous split between larger and smaller or medium sized islands. These patterns in macrohabitat use illustrate the importance of habitat segregation patterns in alleviating inter-specific competition for available resources.</t>
  </si>
  <si>
    <t>Univ Oxford, Museum Nat Hist, Oxford OX1 3PW, England; British Antarctic Survey, Cambridge CB3 0ET, England; Soc Environm Explorat, London EC2A 4QS, England</t>
  </si>
  <si>
    <t>University of Oxford; UK Research &amp; Innovation (UKRI); Natural Environment Research Council (NERC); NERC British Antarctic Survey</t>
  </si>
  <si>
    <t>De Grave, S (corresponding author), Univ Oxford, Museum Nat Hist, Parks Rd, Oxford OX1 3PW, England.</t>
  </si>
  <si>
    <t>De Grave, Sammy/0000-0002-2437-2445</t>
  </si>
  <si>
    <t>CENTRO STUDIO FAUNISTICA ECOLOGIA TROPICALI, C N R</t>
  </si>
  <si>
    <t>FLORENCE</t>
  </si>
  <si>
    <t>VIA ROMANA 17, 50125 FLORENCE, ITALY</t>
  </si>
  <si>
    <t>0394-6975</t>
  </si>
  <si>
    <t>TROP ZOOL</t>
  </si>
  <si>
    <t>Trop. Zool.</t>
  </si>
  <si>
    <t>10.1080/03946975.2001.10531152</t>
  </si>
  <si>
    <t>Zoology</t>
  </si>
  <si>
    <t>529HY</t>
  </si>
  <si>
    <t>WOS:000174295000001</t>
  </si>
  <si>
    <t>Jackson, GD; O'Dor, RK</t>
  </si>
  <si>
    <t>Time, space and the ecophysiology of squid growth, life in the fast lane</t>
  </si>
  <si>
    <t>VIE ET MILIEU-LIFE AND ENVIRONMENT</t>
  </si>
  <si>
    <t>Editorial Material</t>
  </si>
  <si>
    <t>squid growth; statoliths; age validation; metabolism; telemetry</t>
  </si>
  <si>
    <t>SHORT-FINNED SQUID; NEON FLYING SQUID; MOROTEUTHIS-INGENS CEPHALOPODA; ILLEX-ILLECEBROSUS CEPHALOPODA; GONATUS-FABRICII OEGOPSIDA; LOLIGO-VULGARIS; SEPIOTEUTHIS-LESSONIANA; STATOLITH MICROSTRUCTURE; OMMASTREPHES-BARTRAMII; POPULATION-STRUCTURE</t>
  </si>
  <si>
    <t>Squids are important components of many marine ecosystems and continue to come under increasing commercial fishing pressure. In some heavily fished regions, squid have replaced their teleost competitors. They achieve this through rapid growth and short life spans. Valuable insights have been made regarding squid life histories by both statolith ageing studies and cult-are experiments where growth could be observed in the laboratory. These studies continue to reveal that most species of squid live for a year or less and there is only evidence from a small number of species for life spans longer than a year. Small warm water species can complete their life spans in just a few months. While there has been some recently published statolith increment validation experiments, there is a need for increased work in this area. Squids appear to have fast growth rates and short life spans due to: (1) a combination of efficient digestion with a protein based metabolism; (2) the ability to sustain continued growth by a combination of both an increase in muscle fibre size (hypertrophy) along with continual recruitment of new muscle fibres (hyperplasia); (3) efficient use of oxygen and (4) low levels of antioxidative defense. Heavy fishing pressure on large late maturing fishes may have irreversibly tipped the balance of the ecosystem in favour of the fast growing short-lived squids. Detailed studies of marine protected areas (MPA's) including the use of telemetry technology will help clarify if and how overfished ecosystems can be brought back to their original 'balance'.</t>
  </si>
  <si>
    <t>Univ Tasmania, Inst Antarctic &amp; So Ocean Studies, Hobart, Tas 7001, Australia; CORE, Census Marine Life, Washington, DC 20036 USA</t>
  </si>
  <si>
    <t>University of Tasmania</t>
  </si>
  <si>
    <t>Univ Tasmania, Inst Antarctic &amp; So Ocean Studies, POB 252-77, Hobart, Tas 7001, Australia.</t>
  </si>
  <si>
    <t>george.jackson@utas.edu.au; rodor@coreocean.org</t>
  </si>
  <si>
    <t>Jackson, George D/AAI-7315-2021</t>
  </si>
  <si>
    <t>OBSERVATOIRE OCEANOLOGIQUE BANYULS</t>
  </si>
  <si>
    <t>BANYULS-SUR-MER CEDEX</t>
  </si>
  <si>
    <t>LABORATOIRE ARAGO, BP 44, 66651 BANYULS-SUR-MER CEDEX, FRANCE</t>
  </si>
  <si>
    <t>0240-8759</t>
  </si>
  <si>
    <t>VIE MILIEU</t>
  </si>
  <si>
    <t>Vie Milieu</t>
  </si>
  <si>
    <t>Ecology; Marine &amp; Freshwater Biology</t>
  </si>
  <si>
    <t>525QU</t>
  </si>
  <si>
    <t>WOS:000174083100007</t>
  </si>
  <si>
    <t>McInnes, SJ; Chown, SL; Dartnall, HJG; Pugh, PJA</t>
  </si>
  <si>
    <t>Milnesium cfr. tardigradum (Milnesiidae, Apochela, Tardigrada):: A monitor of high altitude meiofauna on sub-Antarctic Marion Island</t>
  </si>
  <si>
    <t>ZOOLOGISCHER ANZEIGER</t>
  </si>
  <si>
    <t>Article; Proceedings Paper</t>
  </si>
  <si>
    <t>8th International Symposium on Tardigrada</t>
  </si>
  <si>
    <t>JUL 30-AUG 05, 2000</t>
  </si>
  <si>
    <t>UNIV COPENHAGEN, COPENHAGEN, DENMARK</t>
  </si>
  <si>
    <t>UNIV COPENHAGEN</t>
  </si>
  <si>
    <t>eutardigrada; feeding ecology; Rotifera; gut contents</t>
  </si>
  <si>
    <t>WEEVILS COLEOPTERA; CURCULIONIDAE</t>
  </si>
  <si>
    <t>The meiofaunal tardigrades Milnesium cfr. tardigradum, Echiniscus sp., and Macrobiotus sp. were extracted from high altitude moss and volcanic scoria samples on sub-Antarctic Marion Island. Gut contents of mounted Milnesium provided forensic evidence of a previously ignored diverse and abundant meiofauna including trophi of bdelloid rotifers, mouthparts and entire individuals of Diphascon sp. (Tardigrada).</t>
  </si>
  <si>
    <t>British Antarctic Survey, NERC, Cambridge CB3 0ET, England; Univ Pretoria, Dept Zool &amp; Entomol, ZA-0002 Pretoria, South Africa; Copper Beeches, Ditchling BN6 8TY, Sussex, England; Anglia Polytech Univ, Dept Life Sci, Cambridge CB1 1PT, England</t>
  </si>
  <si>
    <t>UK Research &amp; Innovation (UKRI); Natural Environment Research Council (NERC); NERC British Antarctic Survey; University of Pretoria; Anglia Ruskin University</t>
  </si>
  <si>
    <t>McInnes, SJ (corresponding author), British Antarctic Survey, NERC, High Cross,Madingley Rd, Cambridge CB3 0ET, England.</t>
  </si>
  <si>
    <t>Chown, Steven/ABD-7646-2021; Chown, Steven L/H-3347-2011; McInnes, Sandra/AAN-4773-2020</t>
  </si>
  <si>
    <t>McInnes, Sandra/0000-0003-3403-9379</t>
  </si>
  <si>
    <t>0044-5231</t>
  </si>
  <si>
    <t>ZOOL ANZ</t>
  </si>
  <si>
    <t>Zool. Anz.</t>
  </si>
  <si>
    <t>3-4</t>
  </si>
  <si>
    <t>10.1078/0044-5231-00054</t>
  </si>
  <si>
    <t>Conference Proceedings Citation Index - Science (CPCI-S); Science Citation Index Expanded (SCI-EXPANDED)</t>
  </si>
  <si>
    <t>520XG</t>
  </si>
  <si>
    <t>WOS:000173808600029</t>
  </si>
  <si>
    <t>McInnes, SJ</t>
  </si>
  <si>
    <t>Is it real?</t>
  </si>
  <si>
    <t>biological illustration; computer image manipulation</t>
  </si>
  <si>
    <t>IMAGE</t>
  </si>
  <si>
    <t>How true is the statement: The camera never lies? Trick photography has a long and varied history, and good fakes are extremely difficult to refute. Now computer software makes it possible to move beyond the 'grab image' function to assist biological illustration in line drawing and/or extensive manipulation of a photographic original. The computer, like the camera, is an imaging tool, which still requires careful use and observation of the original specimen. Image manipulation software can inadvertently distort reality with the possibility of editing a 'new species. Thus the temptation to use image manipulation to show a clean specimen should perhaps be avoided. Editors of journals dealing with taxonomic and anatomical manuscripts should, with the referees, be given the 'original' and 'manipulated' images to determine, Is it real?</t>
  </si>
  <si>
    <t>British Antarctic Survey, NERC, Cambridge CB3 0ET, England</t>
  </si>
  <si>
    <t>UK Research &amp; Innovation (UKRI); Natural Environment Research Council (NERC); NERC British Antarctic Survey</t>
  </si>
  <si>
    <t>McInnes, Sandra/AAN-4773-2020</t>
  </si>
  <si>
    <t>10.1078/0044-5231-00055</t>
  </si>
  <si>
    <t>WOS:000173808600030</t>
  </si>
  <si>
    <t>Miller, WR; Horning, DS; Heatwole, HF</t>
  </si>
  <si>
    <t>Tardigrades of the Australian Antarctic: Macquarie Island, sub-Antarctica</t>
  </si>
  <si>
    <t>predator-prey relationships; association; distribution</t>
  </si>
  <si>
    <t>EAST ANTARCTICA; GENUS ECHINISCOIDES; TERRITORIES; AREA</t>
  </si>
  <si>
    <t>Sub-Antarctic Macquarie Island lies in the Southern Ocean between Tasmania and Antarctica and just above the Antarctic Convergence. Extensive flora and fauna samples were collected during the 1977-78 Australian Museum Expedition. Thirteen genera and 25 species of tardigrades are reported from among the 8725 specimens recovered from the 72 samples. Association between species of tardigrades and between species of tardigrades and plant species are discussed. Possible predator-prey relationships are suggested by patterns of association.</t>
  </si>
  <si>
    <t>Chestnut Hill Coll, Dept Biol, Philadelphia, PA 19118 USA; Tumblegum Res Lab, Tamworth, NSW 2340, Australia; N Carolina State Univ, Dept Zool, Raleigh, NC 27695 USA</t>
  </si>
  <si>
    <t>North Carolina State University</t>
  </si>
  <si>
    <t>Miller, WR (corresponding author), Chestnut Hill Coll, Dept Biol, 9601 Germantown Av, Philadelphia, PA 19118 USA.</t>
  </si>
  <si>
    <t>10.1078/0044-5231-00057</t>
  </si>
  <si>
    <t>WOS:000173808600032</t>
  </si>
  <si>
    <t>Goldstein, SJ; Lea, DW; Chakraborty, S; Kashgarian, M; Murrell, MT</t>
  </si>
  <si>
    <t>Uranium-series and radiocarbon geochronology of deep-sea corals: implications for Southern Ocean ventilation rates and the oceanic carbon cycle</t>
  </si>
  <si>
    <t>EARTH AND PLANETARY SCIENCE LETTERS</t>
  </si>
  <si>
    <t>Antarctic Ocean; uranium disequilibrium; Anthozoa; deep-sea environment; carbon cycle; radioactive isotopes</t>
  </si>
  <si>
    <t>IONIZATION MASS-SPECTROMETRY; THORIUM ISOTOPES; ATMOSPHERIC CO2; AGE CALIBRATION; NORTH-ATLANTIC; CLIMATE-CHANGE; WATER; CIRCULATION; C-14; TH</t>
  </si>
  <si>
    <t>We present new uranium-series and radiocarbon measurements for deep-sea corals from the Southern Ocean. These data are used to reconstruct ventilation ages, both at present and at the end of the last glacial period approximately 16500 years ago. We apply an improved two-component mixing approach to correct uranium-series dates for contaminant thorium and protactinium present in oxide coatings. Calculated seawater radiocarbon values for contemporary samples decrease with depth in the water column and agree with direct seawater radiocarbon measurements for this area. This indicates that deep-sea corals can accurately record seawater radiocarbon distributions. Two of three glacial samples experienced open-system uranium-series systematics, however, a third sample from the Drake Passage yields concordant thorium and protactinium dates as well as seawater values for initial U-234/U-238. This coral yields a ventilation age that is approximately 20-40% greater than modern values for its location. This increase is consistent with published deep-sea coral and calibrated planktonic-benthic foraminifera radiocarbon data. suggesting that the glacial oceans as a whole may have been substantially less ventilated, presumably due to decreased formation of North Atlantic Deep Water. An overall decrease in oceanic mixing rates could have contributed to lower dissolved carbon in surface ocean water and lower atmospheric pCO(2) during the past glacial period. (C) 2001 Elsevier Science B.V. All rights reserved.</t>
  </si>
  <si>
    <t>Los Alamos Natl Lab, Div Chem, Los Alamos, NM 87545 USA; Univ Calif Santa Barbara, Dept Geol Sci, Santa Barbara, CA 93106 USA; Univ Calif Santa Barbara, Inst Marine Sci, Santa Barbara, CA 93106 USA; Lawrence Livermore Natl Lab, Ctr Accelerator Mass Spectrometry, Livermore, CA 94551 USA</t>
  </si>
  <si>
    <t>United States Department of Energy (DOE); Los Alamos National Laboratory; University of California System; University of California Santa Barbara; University of California System; University of California Santa Barbara; United States Department of Energy (DOE); Lawrence Livermore National Laboratory</t>
  </si>
  <si>
    <t>Los Alamos Natl Lab, Div Chem, MS K484, Los Alamos, NM 87545 USA.</t>
  </si>
  <si>
    <t>sgoldstein@lanl.gov</t>
  </si>
  <si>
    <t>Kashgarian, Michaele/E-1665-2011; Chakraborty, Supriyo/A-6716-2011; Goldstein, Steven/AAB-8870-2019</t>
  </si>
  <si>
    <t>Kashgarian, Michaele/0000-0001-7824-8418; Chakraborty, Supriyo/0000-0003-3171-7808;</t>
  </si>
  <si>
    <t>ELSEVIER SCIENCE BV</t>
  </si>
  <si>
    <t>PO BOX 211, 1000 AE AMSTERDAM, NETHERLANDS</t>
  </si>
  <si>
    <t>0012-821X</t>
  </si>
  <si>
    <t>1385-013X</t>
  </si>
  <si>
    <t>EARTH PLANET SC LETT</t>
  </si>
  <si>
    <t>Earth Planet. Sci. Lett.</t>
  </si>
  <si>
    <t>NOV 30</t>
  </si>
  <si>
    <t>1-2</t>
  </si>
  <si>
    <t>10.1016/S0012-821X(01)00494-0</t>
  </si>
  <si>
    <t>499MU</t>
  </si>
  <si>
    <t>WOS:000172575600015</t>
  </si>
  <si>
    <t>Kathmann, SM; Hale, BN</t>
  </si>
  <si>
    <t>Monte Carlo simulations of small sulfuric acid-water clusters</t>
  </si>
  <si>
    <t>JOURNAL OF PHYSICAL CHEMISTRY B</t>
  </si>
  <si>
    <t>BINARY NUCLEATION; HOMOGENEOUS NUCLEATION; TRANSIENT NUCLEATION; ANTARCTIC OZONE; VAPOR; MIXTURES; DEPLETION; KINETICS; SYSTEMS; PHASE</t>
  </si>
  <si>
    <t>Effective atom-atom potentials are developed for binary sulfuric acid-water clusters and applied in a Bennett Metropolis Monte Carlo calculation to determine free energy differences for small neighboring sized clusters of fixed composition at 298 K. The atom-atom pair potentials consist of Lennard-Jones short-range and Coulombic long-range terms and assume rigid SO42 delta- with two unconstrained Hdelta+ and rigid H2O molecules interacting via revised central force (RSL2) potentials. The potential parameters are determined from both ab initio studies and tests of the potential using the statistical mechanical formalism for binary cluster size distributions. In the potential tests, fixed composition free energy differences, deltaf(km,m), for [H2O](km)[H2SO4](m) clusters are plotted versus (km + m)(-1/3), and the resulting slope and intercept (in the large cluster regime) are used to extract model dependent binary liquid surface tension and partial vapor pressures at 298 K. The potential parameters are adjusted to obtain approximate agreement with experimental surface tension and partial vapor pressures for k = 1 and 4 (84% and 57% weight percent H2SO4, respectively). The free energy ;differences for m less than or equal to 15 are presented, together with internal cluster energy contributions, snapshots of cluster structure, and evidence for onset of the large cluster regime near m = 5. The long-range goals have been to test the free energy difference procedure for studying binary cluster properties and to develop model potentials appropriate for the simulation of small binary clusters at low temperatures characteristic of stratospheric sulfuric acid-water aerosols.</t>
  </si>
  <si>
    <t>Pacific NW Natl Lab, Environm Mol Sci Lab, Richland, WA 99353 USA; Univ Missouri, Dept Phys, Rolla, MO 65409 USA</t>
  </si>
  <si>
    <t>United States Department of Energy (DOE); Pacific Northwest National Laboratory; University of Missouri System; Missouri University of Science &amp; Technology</t>
  </si>
  <si>
    <t>Pacific NW Natl Lab, Environm Mol Sci Lab, Richland, WA 99353 USA.</t>
  </si>
  <si>
    <t>shawn.kathmann@pnl.gov; bhale@umr.edu</t>
  </si>
  <si>
    <t>AMER CHEMICAL SOC</t>
  </si>
  <si>
    <t>1155 16TH ST, NW, WASHINGTON, DC 20036 USA</t>
  </si>
  <si>
    <t>1520-6106</t>
  </si>
  <si>
    <t>1520-5207</t>
  </si>
  <si>
    <t>J PHYS CHEM B</t>
  </si>
  <si>
    <t>J. Phys. Chem. B</t>
  </si>
  <si>
    <t>NOV 29</t>
  </si>
  <si>
    <t>10.1021/jp0116499</t>
  </si>
  <si>
    <t>Chemistry, Physical</t>
  </si>
  <si>
    <t>Chemistry</t>
  </si>
  <si>
    <t>497HX</t>
  </si>
  <si>
    <t>WOS:000172450300025</t>
  </si>
  <si>
    <t>Palmer, AS; van Ommen, TD; Curran, MAJ; Morgan, V; Souney, JM; Mayewski, PA</t>
  </si>
  <si>
    <t>High-precision dating of volcanic events - (AD 1301-1995) using ice cores from Law Dome, Antarctica</t>
  </si>
  <si>
    <t>JOURNAL OF GEOPHYSICAL RESEARCH-ATMOSPHERES</t>
  </si>
  <si>
    <t>EXPLOSIVE VOLCANISM; PAST VOLCANISM; MAJOR IONS; SEA-SALT; ERUPTIONS; TEMPERATURE; SNOW</t>
  </si>
  <si>
    <t>A record of volcanic activity over the period A.D. 1301-1995 has been extracted from three Law Dome ice cores (East Antarctica). The record dating is unambiguous at the annual level from A.D. 1807 to 1995 and has an uncertainty of +/-1 year at A.D. 1301. Signals from 20 eruptions are preserved in the record, including those of two unknown eruptions with acid deposition beginning in A.D. 1810.8 and A.D. 1685.8. The beginning of the ice core signal from the A.D. 1815 Tambora eruption is observed in the austral summer of A.D. 1816/1817. The mean observed stratospheric transport and deposition time to Law Dome from the eruption site is 1.5 years (sigma = 0.6 years) from 11 well-dated eruptions. The largest eruption observed in the Law Dome record has its maximum in A.D. 1460 with volcanic sulfate deposition beginning in the austral winter of A.D. 1459. This event is also observed in other ice core records and is attributed to the volcano Kuwae, with an eruption date in the range A.D. 1455.9-1459.9 if all sources of error are considered. This is at least three years later than the date previously ascribed by dendrochronological and historical studies.</t>
  </si>
  <si>
    <t>Univ Tasmania, Inst Antarctic &amp; So Ocean Studies, Hobart, Tas 7001, Australia; Antarctic CRC, Hobart, Tas, Australia; Australian Antarctic Div, Hobart, Tas, Australia; Univ New Hampshire, Climate Change Res Ctr, Inst Study Earth Oceans &amp; Space, Durham, NH 03824 USA; Univ New Hampshire, Dept Earth Sci, Durham, NH 03824 USA</t>
  </si>
  <si>
    <t>University of Tasmania; Australian Antarctic Division; University System Of New Hampshire; University of New Hampshire; University System Of New Hampshire; University of New Hampshire</t>
  </si>
  <si>
    <t>Univ Tasmania, Inst Antarctic &amp; So Ocean Studies, GPO Box 252-77, Hobart, Tas 7001, Australia.</t>
  </si>
  <si>
    <t>anne.palmer@utas.edu.au; tas.van.ommen@utas.edu.au; mark.curran@utas.edu.au; vin.morgan@utas.edu.au</t>
  </si>
  <si>
    <t>Mayewski, Paul Andrew/HRD-6969-2023; van Ommen, Tas/B-5020-2012</t>
  </si>
  <si>
    <t>Souney, Joseph/0000-0002-1492-6432; van Ommen, Tas/0000-0002-2463-1718</t>
  </si>
  <si>
    <t>2169-897X</t>
  </si>
  <si>
    <t>2169-8996</t>
  </si>
  <si>
    <t>J GEOPHYS RES-ATMOS</t>
  </si>
  <si>
    <t>J. Geophys. Res.-Atmos.</t>
  </si>
  <si>
    <t>NOV 27</t>
  </si>
  <si>
    <t>D22</t>
  </si>
  <si>
    <t>10.1029/2001JD000330</t>
  </si>
  <si>
    <t>Meteorology &amp; Atmospheric Sciences</t>
  </si>
  <si>
    <t>495TE</t>
  </si>
  <si>
    <t>WOS:000172355800004</t>
  </si>
  <si>
    <t>Teitelbaum, H; Moustaoui, M; Fromm, M</t>
  </si>
  <si>
    <t>Exploring polar stratospheric cloud and ozone minihole formation: The primary importance of synoptic-scale flow perturbations</t>
  </si>
  <si>
    <t>CHLORINE NITRATE; SOUTHERN-HEMISPHERE; POTENTIAL VORTICITY; TROPOPAUSE PRESSURE; HYDROGEN-CHLORIDE; ANTARCTIC OZONE; COLUMN OZONE; NORTHERN; TEMPERATURES; DEPLETION</t>
  </si>
  <si>
    <t>The formation of polar stratospheric clouds (PSCs) is sometimes attributed to cooling induced by mountain waves. Some examples of PSCs explained by this mechanism are found in the literature. Other studies show that the cooling producing PSCs is of synoptic scale. In this paper we use data from Polar Ozone Aerosol Measurement (POAM) II and from TIROS Operational Vertical Sounder (TOVS) showing coincident occurrences of PSCs and ozone miniholes over the sea and land. Using European Centre for Medium-Range Weather Forecasts (ECMWF) analyses, we show that when both PSCs and localized ozone minima appear, they are associated primarily with anticyclonic potential vorticity anomalies near the tropopause. The flow anomaly penetrates upward and downward, inducing an upward displacement of isentropic surfaces above and a downward displacement below, the upward and downward penetration being consistent with the deformation scale. These flow anomalies result in synoptic-scale quasi-adiabatic uplift through the lower stratosphere. The adiabatic cooling of the air masses creates the conditions for PSC formation. Coincidentally, the ozone partial pressure decreases, and the localized ozone minimum appears. Our purpose in this paper is to show that the primary PSC formation mechanism in the Arctic is the same as for minihole formation: synoptic-scale dynamics. We show three multiday sequences of PSCs and localized ozone minima. We reveal the robustness of the PSC/dynamics link by showing multiyear, monthly statistics of POAM II PSC sighting fraction compared with PSC formation temperature and isentropic geopotential.</t>
  </si>
  <si>
    <t>Ecole Normale Super, CNRS, Meteorol Dynam Lab, F-75231 Paris 05, France; Computat Phys Inc, Fairfax, VA 22031 USA</t>
  </si>
  <si>
    <t>Sorbonne Universite; Centre National de la Recherche Scientifique (CNRS); Universite PSL; Ecole Normale Superieure (ENS)</t>
  </si>
  <si>
    <t>Teitelbaum, H (corresponding author), Ecole Normale Super, CNRS, Meteorol Dynam Lab, 24 Rue Lhomond, F-75231 Paris 05, France.</t>
  </si>
  <si>
    <t>teitel@ella.ens.fr</t>
  </si>
  <si>
    <t>Fromm, Michael/F-4639-2010</t>
  </si>
  <si>
    <t>10.1029/2000JD000065</t>
  </si>
  <si>
    <t>WOS:000172355800011</t>
  </si>
  <si>
    <t>Olsen, SC; McLinden, CA; Prather, MJ</t>
  </si>
  <si>
    <t>Stratospheric N2O-NOy system:: Testing uncertainties in a three-dimensional framework</t>
  </si>
  <si>
    <t>CHEMICAL-TRANSPORT MODEL; IN-SITU OBSERVATIONS; NITRIC-OXIDE; INITIATIVE ASSESSMENT; TRACER CORRELATIONS; NITROUS-OXIDE; EXCITED OZONE; N2O; O-3; NOY</t>
  </si>
  <si>
    <t>Nitrous oxide (N2O) is an important greenhouse gas and the major source of stratospheric reactive nitrogen (NOy), an active participant in the stratospheric chemistry controlling ozone depletion. Tropospheric N2O abundances are increasing at nearly 0.3% yr(-1) and this increase is expected to continue in the near future as are direct stratospheric NO, perturbations, for example, from aircraft. In order to test and gain confidence in three-dimensional (3-D) model simulations of the stratospheric N2O-NOy system, a simplified photochemistry for N2O and NOy is developed for use in chemistry transport models (CTMs). This chemical model allows for extensive CTM simulations focusing on uncertainties in chemistry and transport. We compare 3-D model simulations with measurements and evaluate the effect on N2O and NOy of potential errors in model transport, in column and local ozone, and in stratospheric temperatures. For example, with the three different 3-D wind fields used here, modeled N2O lifetimes vary from 173 to 115 years, and the unrealistically long lifetimes produce clear errors in equatorial N2O profiles. The impact of Antarctic denitrification and an in situ atmospheric N2O source are also evaluated. The modeled N2O and NOy distributions are obviously sensitive to model transport, particularly the strength of tropical upwelling in the stratosphere. Midlatitude, lower-stratospheric NOy/N2O correlations, including seasonal amplitudes, are well reproduced by the standard model when denitrification is included. These correlations are sensitive to changes in stratospheric chemistry but relatively insensitive to model transport. The lower stratospheric NOy/N2O correlation slope gives the correct net NOy production of about 0.5 Tg N yr(-1) (i.e., the cross-tropopause flux as in the Plumb-Ko relation) only when N2O values from 250 to 310 ppb are used. As a consequence., the Synoz calibration of the flux Of O-3 from the stratosphere to the troposphere needs to be corrected to 550 +/- 140 Tg O-3 yr(--1).</t>
  </si>
  <si>
    <t>Univ Calif Irvine, Dept Earth Syst Sci, Irvine, CA 92697 USA</t>
  </si>
  <si>
    <t>University of California System; University of California Irvine</t>
  </si>
  <si>
    <t>Olsen, SC (corresponding author), CALTECH, Div Geol &amp; Planetary Sci, Pasadena, CA 91125 USA.</t>
  </si>
  <si>
    <t>olsen@gps.caltech.edu; chris.mclinden@ec.gc.ca; mprather@uci.edu</t>
  </si>
  <si>
    <t>McLinden, Chris/A-7710-2010</t>
  </si>
  <si>
    <t>McLinden, Chris/0000-0001-5054-1380; Prather, Michael/0000-0002-9442-8109</t>
  </si>
  <si>
    <t>10.1029/2001JD000559</t>
  </si>
  <si>
    <t>Green Published, Bronze</t>
  </si>
  <si>
    <t>WOS:000172355800053</t>
  </si>
  <si>
    <t>Ananthaswamy, A</t>
  </si>
  <si>
    <t>Ice spy - If you want to find neutrinos try a balloon trip over the Antarctic</t>
  </si>
  <si>
    <t>NEW SCIENTIST</t>
  </si>
  <si>
    <t>NEW SCIENTIST PUBL EXPEDITING INC</t>
  </si>
  <si>
    <t>ELMONT</t>
  </si>
  <si>
    <t>200 MEACHAM AVE, ELMONT, NY 11003 USA</t>
  </si>
  <si>
    <t>0262-4079</t>
  </si>
  <si>
    <t>NEW SCI</t>
  </si>
  <si>
    <t>New Sci.</t>
  </si>
  <si>
    <t>NOV 17</t>
  </si>
  <si>
    <t>Multidisciplinary Sciences</t>
  </si>
  <si>
    <t>Science &amp; Technology - Other Topics</t>
  </si>
  <si>
    <t>494KG</t>
  </si>
  <si>
    <t>WOS:000172280900012</t>
  </si>
  <si>
    <t>Rind, D; Russell, G; Schmidt, G; Sheth, S; Collins, D; deMenocal, P; Teller, J</t>
  </si>
  <si>
    <t>Effects of glacial meltwater in the GISS coupled atmosphere-ocean model - 2. A bipolar seesaw in Atlantic Deep Water production</t>
  </si>
  <si>
    <t>NORTH-ATLANTIC; CIRCULATION; RADIOCARBON; ANTARCTICA</t>
  </si>
  <si>
    <t>The relationship between the Northern Hemisphere and Southern Hemisphere deep water circulation systems is explored in experiments with gradual and impulsive freshwater input through the St. Lawrence. With sufficient freshwater volume input (50 Sv years), North Atlantic Deep Water (NADW) cessation occurs, as does substantial cooling in the Northern Hemisphere. The colder temperatures are accompanied by increased mass and sea level pressure in the Northern Hemisphere, with corresponding lower pressure in the Southern Hemisphere. The low-pressure response occurs at high southern latitudes, consistent with the Antarctic Annular Mode, the leading mode of variability in the current climate. Stronger winds, associated with this increased cyclonicity, intensify the Antarctic Circumpolar Current (ACC) with heat flux divergences in the South Atlantic and convergences and warming in the Indian Ocean. Weddell Sea Bottom Water production increases in response to the South Atlantic high-latitude cooling and sea ice growth, hence acting as a seesaw with the decreasing NADW, and even global Antarctic Bottom Water increases, although not as strongly. The initial seesaw response occurs within a few years, although it takes some 100 years to maximize due to the response time of the ACC. The South Atlantic cooling occurs approximately in phase with the North Atlantic, so the seesaw is not in temperature within that ocean basin; however, warming in portions of the southern Indian Ocean occurs out of phase with the Northern Hemisphere cooling. NADW does not resume of its own accord once complete cessation occurs even when freshwater input is stopped, but when increased evaporation is used to force NADW formation temporarily, Weddell Sea Bottom Water decreases accordingly.</t>
  </si>
  <si>
    <t>Columbia Univ, NASA, Goddard Inst Space Studies, New York, NY 10025 USA</t>
  </si>
  <si>
    <t>National Aeronautics &amp; Space Administration (NASA); NASA Goddard Space Flight Center; Goddard Institute for Space Studies; Columbia University</t>
  </si>
  <si>
    <t>Columbia Univ, NASA, Goddard Inst Space Studies, 2880 Broadway, New York, NY 10025 USA.</t>
  </si>
  <si>
    <t>drind@giss.nasa.gov</t>
  </si>
  <si>
    <t>Schmidt, Gavin/D-4427-2012; deMenocal, Peter/B-1386-2013</t>
  </si>
  <si>
    <t>Schmidt, Gavin/0000-0002-2258-0486; deMenocal, Peter/0000-0002-7191-717X; Russell, Gary/0000-0001-7174-5825</t>
  </si>
  <si>
    <t>NOV 16</t>
  </si>
  <si>
    <t>D21</t>
  </si>
  <si>
    <t>10.1029/2001JD000954</t>
  </si>
  <si>
    <t>494XZ</t>
  </si>
  <si>
    <t>WOS:000172312300010</t>
  </si>
  <si>
    <t>O'Connor, JM; Stoffers, P; Wijbrans, JR</t>
  </si>
  <si>
    <t>En echelon volcanic elongate ridges connecting intraplate Foundation Chain volcanism to the Pacific-Antarctic spreading center (vol 189, pg 93, 2001)</t>
  </si>
  <si>
    <t>Correction</t>
  </si>
  <si>
    <t>spreading centers; hot spots; mantle plumes; Pacific-Antarctic Ridge; 40Ar/39Ar</t>
  </si>
  <si>
    <t>SEAMOUNT CHAIN; HOTSPOT; PLUMES</t>
  </si>
  <si>
    <t>The development of volcanic elongate ridges (VERs) could be controlled in many cases by complex processes related to interaction between mantle plumes and spreading centers. We report here measured ages for the Foundation Chain, SE Pacific, showing that volcanism along morphologically distinct VERs can develop occasionally as rapidly formed continuous lines of coeval volcanism extending from a region of intraplate volcanism to the Pacific-Antarctic spreading center. But a significantly more dominant trend is for coeval, yet structurally disconnected, segments of Foundation Chain VERs to develop in a series of en echelon, NE-SW elongate 'zones' of coeval hotspot volcanism, These elongate zones developed at intervals of approximately 1 Myr while maintaining a basically steady state orientation and size as the Pacific-Antarctic spreading center migrated continually closer to the Foundation plume hotspot. We infer from this new information that Foundation Chain VER development was controlled by an interplay between short-lived, local factors (e.g., location of nearest spreading center segment, lithospheric stress) and long-lived attributes of the Foundation plume hotspot (e.g., size, orientation, periodicity). (C) 2001 Elsevier Science B.V. All rights reserved.</t>
  </si>
  <si>
    <t>Univ Kiel, GEOMAR, D-24148 Kiel, Germany; Univ Kiel, Inst Geosci, D-24118 Kiel, Germany; Free Univ Amsterdam, Dept Isotope Geochem, NL-1081 HV Amsterdam, Netherlands</t>
  </si>
  <si>
    <t>University of Kiel; Helmholtz Association; GEOMAR Helmholtz Center for Ocean Research Kiel; University of Kiel; Vrije Universiteit Amsterdam</t>
  </si>
  <si>
    <t>Univ Kiel, GEOMAR, Wischhofstr 1-3, D-24148 Kiel, Germany.</t>
  </si>
  <si>
    <t>joconnor@geomar.de</t>
  </si>
  <si>
    <t>Wijbrans, Jan/Q-1914-2016</t>
  </si>
  <si>
    <t>Wijbrans, Jan/0000-0002-8091-1239</t>
  </si>
  <si>
    <t>NOV 15</t>
  </si>
  <si>
    <t>+</t>
  </si>
  <si>
    <t>10.1016/S0012-821X(01)00462-9</t>
  </si>
  <si>
    <t>497LH</t>
  </si>
  <si>
    <t>WOS:000172456500016</t>
  </si>
  <si>
    <t>Sutherland, SC; Broecker, WS; Takahashi, T</t>
  </si>
  <si>
    <t>Stability of the boundary separating Antarctic Bottom Water from North Atlantic Deep Water in the western South Atlantic</t>
  </si>
  <si>
    <t>GEOPHYSICAL RESEARCH LETTERS</t>
  </si>
  <si>
    <t>OCEAN-ATMOSPHERE MODEL; THERMOHALINE CIRCULATION; GREENHOUSE; CHANNEL; CLIMATE; FLOW</t>
  </si>
  <si>
    <t>A comparison of data collected between 1911 and 1937 with those obtained during SAVE (1987-89) and AJAX (1984) expeditions reveals no significant change in the position of the boundary separating Antarctic Bottom Water and North Atlantic Deep Water in the western South Atlantic Ocean.</t>
  </si>
  <si>
    <t>Columbia Univ, Lamont Doherty Geol Observ, Palisades, NY 10964 USA</t>
  </si>
  <si>
    <t>Columbia University</t>
  </si>
  <si>
    <t>Sutherland, SC (corresponding author), Columbia Univ, Lamont Doherty Geol Observ, 61 Route 9W, Palisades, NY 10964 USA.</t>
  </si>
  <si>
    <t>0094-8276</t>
  </si>
  <si>
    <t>GEOPHYS RES LETT</t>
  </si>
  <si>
    <t>Geophys. Res. Lett.</t>
  </si>
  <si>
    <t>10.1029/2000GL012744</t>
  </si>
  <si>
    <t>490CG</t>
  </si>
  <si>
    <t>WOS:000172032400017</t>
  </si>
  <si>
    <t>Schwander, J; Jouzel, J; Hammer, CU; Petit, JR; Udisti, R; Wolff, E</t>
  </si>
  <si>
    <t>A tentative chronology for the EPICA Dome Concordia ice core</t>
  </si>
  <si>
    <t>ANTARCTICA; VOSTOK; GREENLAND; CLIMATE; SUMMIT</t>
  </si>
  <si>
    <t>A tentative age scale (EDC1) for the last 45 kyr is established for the new 788-m EPICA Dome C ice core using a simple ice flow model. The age of volcanic eruptions, the end of the Younger Dryas event, and the estimated depth and age of elevated Be-10, about 41 kyr ago were used to calibrate the model parameters. The uncertainty of EDC1 is estimated to +/- 10 yr for 0 to 700 yr BP, up to +/- 200 yr back to 10 kyr BP, and up to +/- 2 kyr back to 41 kyr BP. The age of the air in the bubbles is calculated with a firn densification model. In the Holocene the air is about 2000 yr younger than the ice and about 5500 yr during the last glacial maximum.</t>
  </si>
  <si>
    <t>Univ Bern, Inst Phys, CH-3012 Bern, Switzerland; CEA Orme Merisiers Saclay, UMR CEA CNRS, Lab Sci Climat &amp; Environm, F-91191 Gif Sur Yvette, France; Univ Copenhagen, Dept Geophys, Niels Bohr Inst, DK-2100 Copenhagen, Denmark; CNRS, Lab Glaciol &amp; Geophys Environm, F-38402 St Martin Dheres, France; Univ Calabria, Dept Chem, I-87030 Arcavacata Di Rende, Cosenza, Italy; British Antarctic Survey, NERC, Cambridge CB3 0ET, England</t>
  </si>
  <si>
    <t>University of Bern; Universite Paris Saclay; CEA; Centre National de la Recherche Scientifique (CNRS); University of Copenhagen; Niels Bohr Institute; Centre National de la Recherche Scientifique (CNRS); University of Calabria; UK Research &amp; Innovation (UKRI); Natural Environment Research Council (NERC); NERC British Antarctic Survey</t>
  </si>
  <si>
    <t>Schwander, J (corresponding author), Univ Bern, Inst Phys, Sidlerstr 5, CH-3012 Bern, Switzerland.</t>
  </si>
  <si>
    <t>Wolff, Eric W/D-7925-2014; Udisti, Roberto/M-7966-2015</t>
  </si>
  <si>
    <t>Wolff, Eric W/0000-0002-5914-8531; Udisti, Roberto/0000-0003-4440-8238; Becagli, Silvia/0000-0003-3633-4849</t>
  </si>
  <si>
    <t>10.1029/2000GL011981</t>
  </si>
  <si>
    <t>WOS:000172032400023</t>
  </si>
  <si>
    <t>Garnacho, E; Peck, LS; Tyler, PA</t>
  </si>
  <si>
    <t>Effects of copper exposure on the metabolism of the mysid Praunus flexuosus</t>
  </si>
  <si>
    <t>JOURNAL OF EXPERIMENTAL MARINE BIOLOGY AND ECOLOGY</t>
  </si>
  <si>
    <t>ecotoxicology; metabolism; mysids; copper; toxicity</t>
  </si>
  <si>
    <t>NEOMYSIS-INTEGER; RESPIRATION; ZOOPLANKTON; EXCRETION; GROWTH; BAHIA; TEMPERATURE; STARVATION; METALLOTHIONEIN; POPULATION</t>
  </si>
  <si>
    <t>The metabolism of a coastal mysid population (Praunus flexuosus) from the West Solent (South England) has been studied in different seasons (winter, spring and summer). Metabolic responses to copper (0, 5, 25, 75 and 200 mug l(-1) copper added) were measured in winter and summer at 24 h, 96 h and 10 days of exposure. The metabolic rates of P. flexuosus in controls were different between seasons. Respiration and ammonia excretion were 2.5 to 6 times lower in winter than in summer. O:N ratios also varied significantly with season from 3.5-5 in summer to 8 in winter. Temperature dependency of respiration (Q(10) = 1.76) and excretion (Q(10) = 1.95) was moderate. Copper effects on metabolism resulted in a decrease of the O:N ratio, from values or 10 to values between 4 and 2. The metabolic responses to copper were stronger in summer than in winter. causing larger changes and being effective at lower concentrations. Alterations of the O:N ratio found in this study were a very sensitive indicator of sublethal and lethal toxicity. (C) 2001 Elsevier Science B.V. All rights reserved.</t>
  </si>
  <si>
    <t>British Antarctic Survey, Cambridge CB3 0ET, England; Southampton Oceanog Ctr, Sch Ocean &amp; Earth Sci, Southampton SO14 3ZH, Hants, England</t>
  </si>
  <si>
    <t>UK Research &amp; Innovation (UKRI); Natural Environment Research Council (NERC); NERC British Antarctic Survey; NERC National Oceanography Centre; University of Southampton</t>
  </si>
  <si>
    <t>British Antarctic Survey, Madingley Rd, Cambridge CB3 0ET, England.</t>
  </si>
  <si>
    <t>lspe@pcmail.nerc-bas.ac.uk</t>
  </si>
  <si>
    <t>0022-0981</t>
  </si>
  <si>
    <t>1879-1697</t>
  </si>
  <si>
    <t>J EXP MAR BIOL ECOL</t>
  </si>
  <si>
    <t>J. Exp. Mar. Biol. Ecol.</t>
  </si>
  <si>
    <t>10.1016/S0022-0981(01)00331-8</t>
  </si>
  <si>
    <t>486GT</t>
  </si>
  <si>
    <t>WOS:000171810600005</t>
  </si>
  <si>
    <t>Robertson, R</t>
  </si>
  <si>
    <t>Internal tides and baroclinicity in the southern Weddell Sea 1. Model description</t>
  </si>
  <si>
    <t>JOURNAL OF GEOPHYSICAL RESEARCH-OCEANS</t>
  </si>
  <si>
    <t>HUDSON-RARITAN ESTUARY; BOTTOM WATER FORMATION; TIDAL CURRENTS; CONTINENTAL-SHELF; 3-DIMENSIONAL SIMULATION; WAVES; IMPLEMENTATION; CIRCULATION; FLUX</t>
  </si>
  <si>
    <t>Near the continental shelf break in the southern Weddell Sea, Warm Deep Water and Western Shelf Water meet. Mixing mechanisms, such as internal tides, have the potential to mix these water masses and form Antarctic Bottom Water. A modified version of the Princeton Ocean Model was utilized to investigate the internal tidal fields generated by the interaction of the M-2 barotropic tide with topography for transects across the continental shelf and slope in the southern Weddell Sea. Internal tides were generated over the upper continental slope as predicted by linear internal wave theory. Although the essentially two-dimensional domain resulted in differences between the model elevations and the observations exceeding the observational uncertainties, the cross-slope velocities agreed well with differences less than the uncertainties for 78% of the existing observations.</t>
  </si>
  <si>
    <t>Columbia Univ, Lamont Doherty Earth Observ, Palisades, NY 10964 USA</t>
  </si>
  <si>
    <t>Columbia Univ, Lamont Doherty Earth Observ, Route 9W, Palisades, NY 10964 USA.</t>
  </si>
  <si>
    <t>rroberts@ldeo.columbia.edu</t>
  </si>
  <si>
    <t>Robertson, Robin/T-5491-2019</t>
  </si>
  <si>
    <t>2169-9275</t>
  </si>
  <si>
    <t>2169-9291</t>
  </si>
  <si>
    <t>J GEOPHYS RES-OCEANS</t>
  </si>
  <si>
    <t>J. Geophys. Res.-Oceans</t>
  </si>
  <si>
    <t>C11</t>
  </si>
  <si>
    <t>10.1029/2000JC000475</t>
  </si>
  <si>
    <t>Oceanography</t>
  </si>
  <si>
    <t>491JM</t>
  </si>
  <si>
    <t>WOS:000172105300014</t>
  </si>
  <si>
    <t>Internal tides and baroclinicity in the Southern Weddell Sea 2. Effects of the critical latitude and stratification</t>
  </si>
  <si>
    <t>SHELF</t>
  </si>
  <si>
    <t>Tidal dynamics affect Antarctic Bottom Water and Ice Shelf Water production in the southern Weddell Sea and the general circulation and mixing. In this region, tidal dynamics were found to be extremely sensitive both to the proximity of the continental shelf-slope break to the critical latitude psi (crit) and to the existence of a shelf break front. If the continental slope was not in the vicinity of psi (crit) or a shelf break front was absent, generation of internal tides was negligible. Generation of internal tides was greatest when both a shelf break front was present and the continental slope was near and equatorward of psi (crit). When a shelf break front was present and the continental slope was near but poleward of psi (crit), a strong benthic response occurred. This response included development of benthic inertial oscillations at the continental shelf-slope break, increased benthic shear, a thicker benthic boundary layer, and increased benthic dissipation. A shelf break front with even a slight horizontal density gradient was found to significantly enhance internal tide generation and/or the benthic effects.</t>
  </si>
  <si>
    <t>10.1029/2000JC000476</t>
  </si>
  <si>
    <t>WOS:000172105300015</t>
  </si>
  <si>
    <t>Dash, MK; Bhandari, SM; Vyas, NK; Khare, N; Mitra, A; Pandey, PC</t>
  </si>
  <si>
    <t>Oceansat-MSMR imaging of the Antarctic and the Southern Polar Ocean</t>
  </si>
  <si>
    <t>INTERNATIONAL JOURNAL OF REMOTE SENSING</t>
  </si>
  <si>
    <t>This paper highlights preliminary results from the analysis of the first year's data from the multi-channel scanning microwave radiometer (MSMR) onboard India's Oceansat-1 satellite, over the climatologically and geologically important Antarctic and Southern Ocean regions. Weekly averaged microwave brightness temperature images formed using the MSMR data clearly demarcated open water and sea ice regions. Different levels of ice concentration also showed up as different brightness temperature values. Signatures of several large and prominent continental features like the Trans-Antarctic Mountain ranges, Gamburtsev sub-glacial mountain, Wilkes and Aurora sub-glacial basins and the Ross Ice Shelf were seen in these images. Some quasi-circular coastal 'eddy' like features were also observed in sea ice regions off the eastern Antarctic coast. These studies reveal the potential of Oceansat-MSMR for long term monitoring of the polar regions of the Earth.</t>
  </si>
  <si>
    <t>ISRO, Ctr Space Applicat, Ahmedabad 380015, Gujarat, India; NCAOR, Panaji 403804, Goa, India</t>
  </si>
  <si>
    <t>Department of Space (DoS), Government of India; Indian Space Research Organisation (ISRO); Space Applications Centre (SAC); Ministry of Earth Sciences (MoES) - India; National Centre for Polar and Ocean Research (NCPOR)</t>
  </si>
  <si>
    <t>Dash, MK (corresponding author), ISRO, Ctr Space Applicat, Ahmedabad 380015, Gujarat, India.</t>
  </si>
  <si>
    <t>LONDON</t>
  </si>
  <si>
    <t>11 NEW FETTER LANE, LONDON EC4P 4EE, ENGLAND</t>
  </si>
  <si>
    <t>0143-1161</t>
  </si>
  <si>
    <t>INT J REMOTE SENS</t>
  </si>
  <si>
    <t>Int. J. Remote Sens.</t>
  </si>
  <si>
    <t>NOV 10</t>
  </si>
  <si>
    <t>10.1080/01431160110053581</t>
  </si>
  <si>
    <t>Remote Sensing; Imaging Science &amp; Photographic Technology</t>
  </si>
  <si>
    <t>480KU</t>
  </si>
  <si>
    <t>WOS:000171461200012</t>
  </si>
  <si>
    <t>Lüdecke, C</t>
  </si>
  <si>
    <t>The coldest March:: Scott's fatal Antarctic expedition</t>
  </si>
  <si>
    <t>NATURE</t>
  </si>
  <si>
    <t>Book Review</t>
  </si>
  <si>
    <t>Univ Munich, Museumsinsel, Inst Hist Nat Sci, D-80306 Munich, Germany</t>
  </si>
  <si>
    <t>University of Munich</t>
  </si>
  <si>
    <t>Lüdecke, C (corresponding author), Univ Munich, Museumsinsel, Inst Hist Nat Sci, D-80306 Munich, Germany.</t>
  </si>
  <si>
    <t>MACMILLAN PUBLISHERS LTD</t>
  </si>
  <si>
    <t>PORTERS SOUTH, 4 CRINAN ST, LONDON N1 9XW, ENGLAND</t>
  </si>
  <si>
    <t>0028-0836</t>
  </si>
  <si>
    <t>Nature</t>
  </si>
  <si>
    <t>NOV 8</t>
  </si>
  <si>
    <t>10.1038/35102634</t>
  </si>
  <si>
    <t>490AY</t>
  </si>
  <si>
    <t>WOS:000172029100023</t>
  </si>
  <si>
    <t>Broecker, W; Clark, E</t>
  </si>
  <si>
    <t>A dramatic Atlantic dissolution event at the onset of the last glaciation</t>
  </si>
  <si>
    <t>GEOCHEMISTRY GEOPHYSICS GEOSYSTEMS</t>
  </si>
  <si>
    <t>CaCO3 dissolution; CaCO3 cycle; sedimentary geochemistry; geochemical cycles; marine geochemistry; inorganic marine chemistry; organic marine chemistry</t>
  </si>
  <si>
    <t>DEEP-SEA; ATMOSPHERIC CO2; PRESERVATION; CALCITE; OCEAN; PH; FORAMINIFERA; SEDIMENTS; HOLOCENE; RISE</t>
  </si>
  <si>
    <t>Measurements of the CaCO3 content of the CaCO3 size index and of foraminifera weights demonstrate that a prominent dissolution event occurred in the western equatorial Atlantic at the onset of the last glacial period. The decrease in CO3= ion concentration appears to have been too large to be accounted for by the ocean acidification associated with the demise of excess interglacial biomass. Rather, it appears to have been the result of a temporary strengthening of the penetration of the glacial equivalent Antarctic Bottom Water into the Atlantic. The co-occurrence of massive Ethmodiscus re deposition in the eastern equatorial Atlantic bears witness to a reorganization of circulation in the Atlantic. This reorganization may well reflect a temporary collapse of conveyor circulation at the onset of the last glaciation.</t>
  </si>
  <si>
    <t>Broecker, W (corresponding author), Columbia Univ, Lamont Doherty Earth Observ, Route 9W, Palisades, NY 10964 USA.</t>
  </si>
  <si>
    <t>1525-2027</t>
  </si>
  <si>
    <t>GEOCHEM GEOPHY GEOSY</t>
  </si>
  <si>
    <t>Geochem. Geophys. Geosyst.</t>
  </si>
  <si>
    <t>NOV 2</t>
  </si>
  <si>
    <t>art. no.</t>
  </si>
  <si>
    <t>2001GC000185</t>
  </si>
  <si>
    <t>488RD</t>
  </si>
  <si>
    <t>WOS:000171948700001</t>
  </si>
  <si>
    <t>Mandelman, D; Bentahir, M; Feller, G; Gerday, C; Haser, R</t>
  </si>
  <si>
    <t>Crystallization and preliminary X-ray analysis of a bacterial psychrophilic enzyme, phosphoglycerate kinase</t>
  </si>
  <si>
    <t>ACTA CRYSTALLOGRAPHICA SECTION D-BIOLOGICAL CRYSTALLOGRAPHY</t>
  </si>
  <si>
    <t>3-PHOSPHOGLYCERATE KINASE; SEQUENCE; COMPLEX</t>
  </si>
  <si>
    <t>The glycolytic enzyme phosphoglycerate kinase (PGK) from the Antarctic microorganism Pseudomonas sp. TACII18 is a cold-adapted enzyme that displays a high specific activity at low temperatures and decreased thermostability relative to its mesophilic counterpart. Herein, the preliminary crystallization and structure solution of psychrophilic PGK in its native form and cocrystallized with 3-phosphoglyceric acid (3-PGA) and the ATP analogue adenylyl imidophosphate (AMP-PNP) is reported. The complexed form of PGK crystallized in 2-3 d at 290 K, whereas the native form of the enzyme required 8-12 months. Morphologically, both crystal forms are similar and X-ray diffraction experiments indicate that the crystals are isomorphous. The crystals diffracted to a resolution of 2.0 Angstrom and belong to the space group P3(2). with unit-cell parameters a = b = 58.5, c = 85.4 Angstrom.</t>
  </si>
  <si>
    <t>Univ Lyon 1, CNRS, Lab Biocristallog, UMR 5086,Inst Biol &amp; Chim Prot, F-69367 Lyon 07, France; Univ Liege, Inst Chim B6, Biochim Lab, B-4000 Sart Tilman Par Liege, Belgium</t>
  </si>
  <si>
    <t>Centre National de la Recherche Scientifique (CNRS); CNRS - National Institute for Biology (INSB); Universite Claude Bernard Lyon 1; University of Liege</t>
  </si>
  <si>
    <t>Haser, R (corresponding author), Univ Lyon 1, CNRS, Lab Biocristallog, UMR 5086,Inst Biol &amp; Chim Prot, F-69367 Lyon 07, France.</t>
  </si>
  <si>
    <t>MUNKSGAARD INT PUBL LTD</t>
  </si>
  <si>
    <t>COPENHAGEN</t>
  </si>
  <si>
    <t>35 NORRE SOGADE, PO BOX 2148, DK-1016 COPENHAGEN, DENMARK</t>
  </si>
  <si>
    <t>0907-4449</t>
  </si>
  <si>
    <t>ACTA CRYSTALLOGR D</t>
  </si>
  <si>
    <t>Acta Crystallogr. Sect. D-Biol. Crystallogr.</t>
  </si>
  <si>
    <t>NOV</t>
  </si>
  <si>
    <t>10.1107/S0907444901012069</t>
  </si>
  <si>
    <t>Biochemical Research Methods; Biochemistry &amp; Molecular Biology; Biophysics; Crystallography</t>
  </si>
  <si>
    <t>Biochemistry &amp; Molecular Biology; Biophysics; Crystallography</t>
  </si>
  <si>
    <t>485TA</t>
  </si>
  <si>
    <t>WOS:000171778400028</t>
  </si>
  <si>
    <t>Eguchi, M; Ostrowski, M; Fegatella, F; Bowman, J; Nichols, D; Nishino, T; Cavicchioli, R</t>
  </si>
  <si>
    <t>Sphingomonas alaskensis strain AFO1, an abundant oligotrophic ultramicrobacterium from the North Pacific</t>
  </si>
  <si>
    <t>APPLIED AND ENVIRONMENTAL MICROBIOLOGY</t>
  </si>
  <si>
    <t>IN-SITU HYBRIDIZATION; PELAGIC MARINE-BACTERIA; RIBOSOMAL-RNA OPERON; GENUS SPHINGOMONAS; FLOW-CYTOMETRY; SP-NOV; COMMUNITY COMPOSITION; GENETIC DIVERSITY; DILUTION CULTURE; ORGANIC-CARBON</t>
  </si>
  <si>
    <t>Numerous studies have established the importance of picoplankton (microorganisms of less than or equal to2 mum in length) in energy flow and nutrient cycling in marine oligotrophic environments, and significant effort has been directed at identifying and isolating heterotrophic picoplankton from the world's oceans. Using a method of diluting natural seawater to extinction followed by monthly subculturing for 12 months, a bacterium was isolated that was able to form colonies on solid medium. The strain was isolated from a 10(5) dilution of seawater where the standing bacterial count was 3.1 X 10(5) cells ml(-1). This indicated that the isolate was representative of the most abundant bacteria at the sampling site, 1.5 km from Cape Muroto, Japan. The bacterium was characterized and found to be ultramicrosized (less than 0.1 mum(3)), and the size varied to only a small degree when the cells were starved or grown in rich media. A detailed molecular (16S rRNA sequence, DNA-DNA hybridization, G+C mol%, genome size), chemotaxonomic (lipid analysis, morphology), and physiological (resistance to hydrogen peroxide, heat, and ethanol) characterization of the bacterium revealed that it was a strain of Sphingomonas alaskensis. The type strain, RB2256, was previously isolated from Resurrection Bay, Alaska, and similar isolates have been obtained from the North Sea. The isolation of this species over an extended period, its high abundance at the time of sampling, and its geographical distribution indicate that it has the capacity to proliferate in ocean waters and is therefore likely to be an important contributor in terms of biomass and nutrient cycling in marine environments.</t>
  </si>
  <si>
    <t>Univ New S Wales, Sch Microbiol &amp; Immunol, Sydney, NSW 2052, Australia; Kinki Univ, Dept Fisheries, Nara 6318505, Japan; Univ Tokyo, Ocean Res Inst, Nakano Ku, Tokyo 1648639, Japan; Univ Tasmania, Sch Agr Sci, Hobart, Tas 7001, Australia; Univ Tasmania, Antarctic CRC, Hobart, Tas 7001, Australia</t>
  </si>
  <si>
    <t>University of New South Wales Sydney; Kindai University (Kinki University); University of Tokyo; University of Tasmania; University of Tasmania</t>
  </si>
  <si>
    <t>Cavicchioli, R (corresponding author), Univ New S Wales, Sch Microbiol &amp; Immunol, Sydney, NSW 2052, Australia.</t>
  </si>
  <si>
    <t>Ostrowski, Martin/A-7118-2010; Bowman, John P/C-2414-2014; Bowman, John P./ABF-5108-2020; Cavicchioli, Ricardo/D-4341-2013</t>
  </si>
  <si>
    <t>Ostrowski, Martin/0000-0002-4357-3023; Bowman, John P/0000-0002-4528-9333; Bowman, John P./0000-0002-4528-9333; Cavicchioli, Ricardo/0000-0001-8989-6402; Nichols, David/0000-0002-8066-3132</t>
  </si>
  <si>
    <t>AMER SOC MICROBIOLOGY</t>
  </si>
  <si>
    <t>1752 N ST NW, WASHINGTON, DC 20036-2904 USA</t>
  </si>
  <si>
    <t>0099-2240</t>
  </si>
  <si>
    <t>APPL ENVIRON MICROB</t>
  </si>
  <si>
    <t>Appl. Environ. Microbiol.</t>
  </si>
  <si>
    <t>10.1128/AEM.67.11.4945-4954.2001</t>
  </si>
  <si>
    <t>Biotechnology &amp; Applied Microbiology; Microbiology</t>
  </si>
  <si>
    <t>488BL</t>
  </si>
  <si>
    <t>Green Published</t>
  </si>
  <si>
    <t>WOS:000171914100001</t>
  </si>
  <si>
    <t>Ellis-Evans, JC; Galchenko, V; Laybourn-Parry, J; Mylnikov, AP; Petz, W</t>
  </si>
  <si>
    <t>Environmental characteristics and microbial plankton activity of freshwater environments at Kongsfjorden, Spitsbergen (Svalbard)</t>
  </si>
  <si>
    <t>ARCHIV FUR HYDROBIOLOGIE</t>
  </si>
  <si>
    <t>Arctic lakes; transparency; UV-effects; under-ice; plankton activity; phytoplankton</t>
  </si>
  <si>
    <t>ULTRAVIOLET-RADIATION; CLIMATE VARIABILITY; PHYTOPLANKTON; LAKES; BACTERIOPLANKTON; DYNAMICS; SURFACE; ISLAND</t>
  </si>
  <si>
    <t>Physical, chemical and microbiological features of a range of High Arctic freshwater lakes, located in the vicinity of Kongsfjorden, north-west Svalbard, are described for the first time. The lakes were chosen to include both upland and coastal systems and those in proximity of human activity. Sampling was undertaken during April (late winter) and in July/August (summer). The lakes all proved to be oligotrophic with low DOC concentrations (&lt;2 mg/l) and most were relatively light transparent (K-dPAR 0.13-0.26 m(-1)) but high inorganic particle loadings or wind-induced sediment resuspension significantly reduced light penetration in certain lakes. In the clear lakes/pools, a substantial proportion of incident UV-A and UV-B radiation often penetrated the entire water column. With short-wave radiation in High Arctic locations currently increasing the light penetration data presented here suggest that planktonic biota in the shallow lakes and pools will be subject to UV influence. Phytoplankton populations were sparse (1-3 mug chlorophyll-a/l) and virtually absent in winter with seasonal activity focussed on the short summer season. Evidence of under-ice planktonic activity was observed in only one lake. Patterns of microbial numbers and activity observed within and between lakes appeared to be related to lake volume, catchment features and high summer water temperatures (up to 15 degreesC). In particular, the proportion of viable (electron transport system activity) bacteria increased with temperature within each study system and a trend of increasing percentage viability was also seen in bacterioplankton along the relatively weak eutrophication gradient. Human disturbance of lake catchments in the vicinity of the village of Ny Alesund appeared to have influenced lake status and thus the microbial Populations and activity within these systems.</t>
  </si>
  <si>
    <t>British Antarctic Survey, Cambridge CB3 0ET, England; RAS, Inst Unique Microorganisms, Moscow 117901, Russia; Univ Nottingham, Sch Environm Sci, Loughborough LE12 5RD, Leics, England; Inst Biol Inland Waters, Borok, Russia; Salzburg Univ, Dept Zool, A-5020 Salzburg, Austria</t>
  </si>
  <si>
    <t>UK Research &amp; Innovation (UKRI); Natural Environment Research Council (NERC); NERC British Antarctic Survey; Russian Academy of Sciences; University of Nottingham; Papanin Institute for Biology of Inland Waters; Salzburg University</t>
  </si>
  <si>
    <t>jcel@bas.ac.uk</t>
  </si>
  <si>
    <t>Mylnikov, Alexander P./J-2929-2016</t>
  </si>
  <si>
    <t>E SCHWEIZERBARTSCHE VERLAGSBUCHHANDLUNG</t>
  </si>
  <si>
    <t>STUTTGART</t>
  </si>
  <si>
    <t>NAEGELE U OBERMILLER, SCIENCE PUBLISHERS, JOHANNESSTRASSE 3A, D 70176 STUTTGART, GERMANY</t>
  </si>
  <si>
    <t>0003-9136</t>
  </si>
  <si>
    <t>ARCH HYDROBIOL</t>
  </si>
  <si>
    <t>Arch. Hydrobiol.</t>
  </si>
  <si>
    <t>Limnology; Marine &amp; Freshwater Biology</t>
  </si>
  <si>
    <t>510JT</t>
  </si>
  <si>
    <t>WOS:000173205500005</t>
  </si>
  <si>
    <t>Sommaruga, R; Psenner, R</t>
  </si>
  <si>
    <t>High-mountain lakes and streams: Indicators of a changing world</t>
  </si>
  <si>
    <t>ARCTIC ANTARCTIC AND ALPINE RESEARCH</t>
  </si>
  <si>
    <t>Univ Innsbruck, Inst Zool &amp; Limnol, A-6020 Innsbruck, Austria</t>
  </si>
  <si>
    <t>University of Innsbruck</t>
  </si>
  <si>
    <t>Sommaruga, R (corresponding author), Univ Innsbruck, Inst Zool &amp; Limnol, Technikerstr 25, A-6020 Innsbruck, Austria.</t>
  </si>
  <si>
    <t>ruben.sommaruga@uibk.ac.at</t>
  </si>
  <si>
    <t>Sommaruga, Ruben/E-5335-2011; Sommaruga, Ruben/P-6626-2019</t>
  </si>
  <si>
    <t>Sommaruga, Ruben/0000-0002-1055-2461; Sommaruga, Ruben/0000-0002-1055-2461</t>
  </si>
  <si>
    <t>INST ARCTIC ALPINE RES</t>
  </si>
  <si>
    <t>BOULDER</t>
  </si>
  <si>
    <t>UNIV COLORADO, BOULDER, CO 80309 USA</t>
  </si>
  <si>
    <t>1523-0430</t>
  </si>
  <si>
    <t>ARCT ANTARCT ALP RES</t>
  </si>
  <si>
    <t>Arct. Antarct. Alp. Res.</t>
  </si>
  <si>
    <t>10.1080/15230430.2001.12003444</t>
  </si>
  <si>
    <t>Environmental Sciences; Geography, Physical</t>
  </si>
  <si>
    <t>Environmental Sciences &amp; Ecology; Physical Geography</t>
  </si>
  <si>
    <t>501YN</t>
  </si>
  <si>
    <t>WOS:000172713800001</t>
  </si>
  <si>
    <t>Kääb, A; Haeberli, W</t>
  </si>
  <si>
    <t>Evolution of a high-mountain thermokarst lake in the Swiss Alps</t>
  </si>
  <si>
    <t>International Symposium on High-Mountain Lake and Streams: Indicators of a Changing World</t>
  </si>
  <si>
    <t>SEP 04-08, 2000</t>
  </si>
  <si>
    <t>INNSBRUCK, AUSTRIA</t>
  </si>
  <si>
    <t>ALPINE LAKES</t>
  </si>
  <si>
    <t>Thermokarst lakes, a characteristic landscape element of the Arctic, are rarely found outside arctic situations. Here, a 30-yr photogrammetric monitoring series of a thermokarst lake in the Gruben area, Swiss Alps, is presented, The lake. situated in an environment of dead-ice remains and creeping permafrost, reached a final size of ca. 10,000 m(2) in area and 50,000 m(3) in volume before it had to be drained artificially in 1995. Starting in the mid-1960s it grew with radial rates of ca. 1.5 to 5 m yr(-1). Nonlinear coupling of lake diameter and energy turnover led to accelerated area growth. The development of the lake was presumably driven by thermal convection of water. By a dynamic model of lake growth, we show that a change in climate conditions and/or the lake bottom topography could have,significantly influenced the observed lake growth. The effective energy turnover used for ice-melt and subsequent lake growth was estimated to be in the order 10(0) to 10(1) W m(-2).</t>
  </si>
  <si>
    <t>Univ Zurich, Dept Geog, CH-8057 Zurich, Switzerland</t>
  </si>
  <si>
    <t>University of Zurich</t>
  </si>
  <si>
    <t>kaeaeb@geo.unizh.ch</t>
  </si>
  <si>
    <t>Kääb, Andreas/AAG-8769-2020; Kääb, Andreas/A-3607-2012</t>
  </si>
  <si>
    <t>Kääb, Andreas/0000-0002-6017-6564;</t>
  </si>
  <si>
    <t>1938-4246</t>
  </si>
  <si>
    <t>10.2307/1552546</t>
  </si>
  <si>
    <t>Science Citation Index Expanded (SCI-EXPANDED); Conference Proceedings Citation Index - Science (CPCI-S)</t>
  </si>
  <si>
    <t>WOS:000172713800002</t>
  </si>
  <si>
    <t>Leydecker, A; Sickman, JO; Melack, JM</t>
  </si>
  <si>
    <t>Spatial scaling of hydrological and biogeochemical aspects of high-altitude catchments in the Sierra Nevada, California, USA</t>
  </si>
  <si>
    <t>REPRESENTATIVE ELEMENTARY AREA; RUNOFF; SNOW; REA</t>
  </si>
  <si>
    <t>Using data from alpine and subalpine watersheds in the southern and central Sierra Nevada, California, we develop the concept of representative elementary area (REA) for a hydrological variable (maximum snow depth at the beginning of the melt season), and for outflow concentrations and the annual export of a biologically important ion (nitrate) and the products of weathering (base cations and silica). Up to 1000 snow-depth measurements were taken each year since 1990 at maximum accumulation in the upper Marble Fork watershed (a 1900-ha headwater watershed of the Kaweah River, 36 degrees 36'22N, 118 degrees 40'59W). The random nature of snow distribution is illustrated in semi variograms, which usually have an autocorrelation range of &lt; 30 m, i.e., adjacent pixels with similar terrain and radiation inputs can have dissimilar snow depths. There is a consistent year-to-year relationship between the mean Marble Fork basin snow-depth at maximum accumulation and mean depth!, in the sub-basins; the REA appears to be on the order of 50 ha. Our results suggest that the REA for annual volume-weighted mean (VWM) nitrate concentration, nitrate yield, and possibly the temporal variation in outflow concentrations lies in the range of 35 to 70 ha. A similar-sized REA seems to apply to the annual export and VWM concentrations of base cations and silica.</t>
  </si>
  <si>
    <t>Univ Calif Santa Barbara, Dept Ecol Evolut &amp; Marine Biol, Santa Barbara, CA 93106 USA; Univ Calif Santa Barbara, Donald Bren Sch Environm Sci &amp; Management, Santa Barbara, CA 93106 USA</t>
  </si>
  <si>
    <t>University of California System; University of California Santa Barbara; University of California System; University of California Santa Barbara</t>
  </si>
  <si>
    <t>Melack, JM (corresponding author), Univ Calif Santa Barbara, Dept Ecol Evolut &amp; Marine Biol, Santa Barbara, CA 93106 USA.</t>
  </si>
  <si>
    <t>10.2307/1552547</t>
  </si>
  <si>
    <t>WOS:000172713800003</t>
  </si>
  <si>
    <t>Williams, MW; Hood, EW; Ostberg, G; Francou, B; Galarraga, R</t>
  </si>
  <si>
    <t>Synoptic survey of surface water isotopes and nutrient concentrations, paramo high-elevation region, Antisana Ecological Reserve, Ecuador</t>
  </si>
  <si>
    <t>MOUNTAIN-NATIONAL-PARK; NITROGEN SATURATION; FOREST ECOSYSTEMS; SIERRA-NEVADA; CATCHMENT; BASIN; VEGETATION; CHEMISTRY; RETENTION; PATTERNS</t>
  </si>
  <si>
    <t>Here we provide baseline information on water isotopes and nutrient concentrations for channelized streams and wetlands from a paramo ecosystem in Antisana Ecological Reserve, Ecuador. Water samples were collected from wetland areas and compared to the nearby Rio Tumiguina. Stream water samples were also collected downstream from glacial source areas for 7 km (Rio Tumiguina) and 10 km (Rio Antisana). Water samples from the gauging station on the Rio Tumiguina (n = 4) and nearby wetlands (n = 4) showed significant differences for some nutrients and little difference for other nutrients, Nitrate (NO3-N) concentrations were below 14 mug L-1 (1 mu mol L-1) at both sites and not significantly different. Concentrations of ammonium (NH4-N) in both stream water and wet -lands were much higher than NO3-N concentrations. For example, NH4- centrations in stream water of 195 mug L-1 (14 mu mol L-1) were 17 times that of NO3-N concentrations. In contrast to NO3-N and NH4-N, there was a significant difference (P &lt; 0.001) between concentrations of soluble reactive phosphate (SRP), with concentrations of SRP in the Rio Tumiguina of about 263 mug L-1 (8.2 mu mol L-1) and below detection limits in wetlands. Dissolved organic carbon (DOC) concentrations in the Rio Tumiguina of 0.4 mg L-1 were quite low compared to the 23 mg L-1 of DOC from the paramo wetlands. At both stream transects, the delta O-18 values decreased from glacial signatures of about - 17 parts per thousand near the glacial terminus to - 13 parts per thousand at distances of 7 to 10 km. Nitrate concentrations were at or below detection limits at all sampling sites. Ammonium concentrations were higher than NO3-N concentrations in all samples. Concentrations of dissolved organic phosphorus (DOP) were almost as high as dissolved organic carbon (DOC) near the glacial outlets. Concentrations of dissolved organic nitrogen (DON) and DOC were near detection limits near the glacial outlets and then increased downstream.</t>
  </si>
  <si>
    <t>Univ Colorado, Dept Geog, Boulder, CO 80309 USA; Univ Colorado, Inst Arctic &amp; Alpine Res, Boulder, CO 80309 USA; Uppsala Univ, Dept Geog, S-75236 Uppsala, Sweden; Inst Rech Dev, Quito, Ecuador; Escuela Polytecn Nacl, Dept Hidraulica &amp; Recursos Hidricos, Quito, Ecuador</t>
  </si>
  <si>
    <t>University of Colorado System; University of Colorado Boulder; University of Colorado System; University of Colorado Boulder; Uppsala University; Institut de Recherche pour le Developpement (IRD); Escuela Politecnica Nacional Ecuador</t>
  </si>
  <si>
    <t>Williams, MW (corresponding author), Univ Colorado, Dept Geog, Boulder, CO 80309 USA.</t>
  </si>
  <si>
    <t>10.2307/1552548</t>
  </si>
  <si>
    <t>WOS:000172713800004</t>
  </si>
  <si>
    <t>Kamenik, C; Schmidt, R; Kum, G; Psenner, R</t>
  </si>
  <si>
    <t>The influence of catchment characteristics on the water chemistry of mountain lakes</t>
  </si>
  <si>
    <t>NITROGEN-PHOSPHORUS RELATIONSHIP; ELEVATION</t>
  </si>
  <si>
    <t>Forty-four lakes in the Austrian Alps were studied to examine the influence of catchment characteristics on water chemistry. The lakes ae located along an altitudinal gradient (1502-2309 m a.s.l.) in a small study area (35.5 km * 15.5 kin) without glaciers. Longitude and latitude accounted for 21.4% of the variation in water chemistry. Bedrock mineralogy explained 14.5% of the variation. Vegetation accounted for 13.2% and slope for 5.5% of the variation in water chemistry. No correlations were found between exposure and water chemistry. Water chemistry appeared to be mainly determined by (1) chemical weathering of carbonate minerals and (2) in-lake productivity. Carbonate minerals were assumed to be present in all watersheds. Trees and shrubs enhanced chemical weathering. Concentrations of chemical parameters indicating physical weathering were high in lakes with large, steep catchments. Steep watersheds were correlated with enhanced nitrogen concentrations in the lakes. In-lake productivity obscured relationships between chemical parameters and catchment characteristics. Nonetheless, catchment characteristics explained 45% Of the variation in water chemistry, stressing their importance for water chemistry in mountain lakes.</t>
  </si>
  <si>
    <t>Austrian Acad Sci, Inst Limnol, A-5310 Mondsee, Austria; ECHO, GPS, A-3270 Scheibbs, Austria; Univ Innsbruck, Inst Zool &amp; Limnol, A-6020 Innsbruck, Austria</t>
  </si>
  <si>
    <t>Austrian Academy of Sciences; University of Innsbruck</t>
  </si>
  <si>
    <t>Austrian Acad Sci, Inst Limnol, Mondseestr 9, A-5310 Mondsee, Austria.</t>
  </si>
  <si>
    <t>christian.kamenik@oeaw.ac.at</t>
  </si>
  <si>
    <t>10.2307/1552549</t>
  </si>
  <si>
    <t>WOS:000172713800005</t>
  </si>
  <si>
    <t>Ohlendorf, C; Sturm, M</t>
  </si>
  <si>
    <t>Precipitation and dissolution of calcite in a Swiss High Alpine Lake</t>
  </si>
  <si>
    <t>CARBONATE; WATER</t>
  </si>
  <si>
    <t>Water chemistry and sediment trap data from the 18.9-m-deep, high-altitude, hardwater take Hagelseewli (2339 m asl.) indicates that biogenic induced calcite precipitation occurs in a water depth of 6 to 9 m at a temperature of 4 degreesC. Our data indicates that calcite precipitation takes place as a short Pulse that lasts less than 14 d in response to photosynthetic CO2 uptake in late summer probably by cyanobacterial picoplankton. In up to 8.4 times supersaturated water 30 mum large calcite crystals precipitate that show surface features typical for eutrophic lakes (rough surface and enhanced columnar growth). Subsequently, during the long period of ice coverage calcite is completely dissolved in strongly undersaturated bottom waters. Sediment calcite concentrations therefore are below, 0.3%, although the comparison of trap fluxes and sediment accumulation rates indicates that they could be as high as 25%. The theoretical annual accumulation of calcite in Hagelseewli is similar in magnitude to a single spring precipitation event in a low-altitude temperate, hardwater lake, In the most recent sediments the occurrence of higher amounts of organic carbon and Sulfur indicates increasing bottom water anoxia during the last 30 to 40 yr.</t>
  </si>
  <si>
    <t>Swiss Fed Inst Environm Sci &amp; Technol, EAWAG, CH-8600 Dubendorf, Switzerland</t>
  </si>
  <si>
    <t>Swiss Federal Institutes of Technology Domain; Swiss Federal Institute of Aquatic Science &amp; Technology (EAWAG)</t>
  </si>
  <si>
    <t>Ohlendorf, C (corresponding author), Swiss Fed Inst Environm Sci &amp; Technol, EAWAG, Uberlandstr 133, CH-8600 Dubendorf, Switzerland.</t>
  </si>
  <si>
    <t>Ohlendorf, Christian/0000-0003-3794-7313</t>
  </si>
  <si>
    <t>10.2307/1552550</t>
  </si>
  <si>
    <t>WOS:000172713800006</t>
  </si>
  <si>
    <t>Anderson, NJ; Harriman, R; Ryves, DB; Patrick, ST</t>
  </si>
  <si>
    <t>Dominant factors controlling variability in the ionic composition of West Greenland Lakes</t>
  </si>
  <si>
    <t>LIMNOLOGY</t>
  </si>
  <si>
    <t>Over 80 lakes were sampled between the ice margin and the coast in West Greenland between 66 and 67 degreesN and analyzed for their pH, alkalinity, conductivity, and tivity values &lt; 150 muS cm(-1). There are, however, also saline lakes (2000-4000 muS cm(-1) NaHCO(3)/CO(3), and Mg HCO(3)/CO(3)-doniinated), mainly around the head of the fjord. The main control on lake chemistry in this area is evaporation as indicated by the fossil shorelines surrounding the saline lakes. The high concentrations of Na indicate extensive inputs from either weathering or from eolian transported silts (loess) derived from the sand outwash plains at the ice sheet margin. The pattern of cation dominance in the freshwater lakes is Ca &gt; Mg &gt; Na &gt; K. Variability in the water chemistry and the dominant controls oil water chemistry were examined using PCA and RDA, respectively. There is a clear gradient in lake chemistry front west to east. This trend reflects the split between the dilute coastal lakes (with higher %Cl) and the saline lakes close to the head of the fjord. Altitude is also significant and probably reflects reduced Weathering rates at upland sites (similar to 500 m) with limited vegetation cover. A number of lakes had high SO(4) concentrations (maximum &gt; 10,000 mu eq L(-1)) and were clearly influenced by local geology.</t>
  </si>
  <si>
    <t>Univ Copenhagen, Dept Geog, DK-1350 Copenhagen K, Denmark; Freshwater Fisheries Lab, Perthshire PH16 5LB, Scotland; Geol Survey Denmark &amp; Greenland, GEUS, Dept Environm Hist &amp; Climate Change, DK-2400 Copenhagen, NV, Denmark; UCL, ENSIS, ECRC, London WC1H OAP, England</t>
  </si>
  <si>
    <t>University of Copenhagen; Geological Survey Of Denmark &amp; Greenland; University of London; University College London</t>
  </si>
  <si>
    <t>Anderson, NJ (corresponding author), Univ Copenhagen, Dept Geog, Oster Voldgade 10, DK-1350 Copenhagen K, Denmark.</t>
  </si>
  <si>
    <t>nja@geogr.ku.dk</t>
  </si>
  <si>
    <t>Ryves, David/D-6434-2011</t>
  </si>
  <si>
    <t>10.2307/1552551</t>
  </si>
  <si>
    <t>WOS:000172713800007</t>
  </si>
  <si>
    <t>Reche, I; Pulido-Villena, E; Conde-Porcuna, JM; Carrillo, P</t>
  </si>
  <si>
    <t>Photoreactivity of dissolved organic matter from high-mountain lakes of Sierra Nevada, Spain</t>
  </si>
  <si>
    <t>ULTRAVIOLET-B RADIATION; FLUORESCENCE PROPERTIES; PHYTOPLANKTON BIOMASS; CARBON CONCENTRATION; AUSTRIAN ALPS; UV; DOC; ABSORPTION; ACIDIFICATION; PENETRATION</t>
  </si>
  <si>
    <t>The effect of many environmental stressors can be mediated by dissolved organic matter (DOM) properties. In this study, DOM from four high mountain lakes (two surrounded by meadows and two located on rocky terrain) was optically characterized and its photoreactivity was experimentally evaluated. To evaluate DOM photoreactivity. photobleaching rates of absorptivity, and fluorescence and their effects on DOM spectral properties were analyzed. Dissolved organic carbon (DOC) concentration ranged from 37 to 69 muM, absorptivity at 320 nm (a(320)) from 0.60 to 3.09 m(-1), and fluorescence from 1.30 to 5.70 QSU. Photobleaching of absorptivity was significant only at 320 nm (a(320)) resulting in half lives that varied from 2.6 to 6.7 d. Photobleaching of a(320) was significantly higher for DOM from takes located on rocky terrain than for DOM from lakes surrounded by meadows. Photobleaching of fluorescence emission at 450 nm (F-450) was significant only for three lakes and their ha-lf lives varied from 4.1 to 6.3 d. No significant difference,; were observed among the lakes studied. The changes over sunlight exposure of spectral slopes (S-UV), ratios of absorptivity at 250 nm to 365 nm (a(250):a(365)) and ratios of' fluorescence emission at 450 nm to 500 nm (F-450:F-500) did not show consistent trends with alternate increases and decreases. Lakes surrounded by meadows showed higher DOC concentrations, higher absorptivities, and lower ci,) photobleaching coefficients, suggesting that these lakes could be less vulnerable to UVR than lakes located on rocky terrain.</t>
  </si>
  <si>
    <t>Univ Granada, Dpto Biol Anim &amp; Ecol, Fac Ciencias, Granada 18071, Spain; Univ Granada, Inst Agua, Granada 18071, Spain</t>
  </si>
  <si>
    <t>University of Granada; University of Granada</t>
  </si>
  <si>
    <t>Univ Granada, Dpto Biol Anim &amp; Ecol, Fac Ciencias, Granada 18071, Spain.</t>
  </si>
  <si>
    <t>ireche@ugr.es</t>
  </si>
  <si>
    <t>Reche, Isabel/K-7120-2014; Carrillo, Presentacion/I-1601-2015; Conde-Porcuna, Jose M./L-9665-2014</t>
  </si>
  <si>
    <t>Reche, Isabel/0000-0003-2908-1724; Carrillo, Presentacion/0000-0003-3794-4294; Pulido, Elvira/0000-0002-5436-2133; Conde-Porcuna, Jose M./0000-0002-5074-2796</t>
  </si>
  <si>
    <t>10.2307/1552552</t>
  </si>
  <si>
    <t>WOS:000172713800008</t>
  </si>
  <si>
    <t>Noda, T; Onodera, S; Hirose, T; Naruoka, T</t>
  </si>
  <si>
    <t>Sediment yield variation in small catchments with different bedrock in a humid temperate region</t>
  </si>
  <si>
    <t>Sediment yield in mountainous catchments is closely associated with habitat stability of ecosystems in floodplain or valley bottom. The results of this study provide potential scenarios of future changes in sediment yield as a result of increasing rainfall due to climatic warming. We monitored stream discharge and sediment yield at four small catchments with different bedrock types and stream orders in a subalpine environment in central Japan. The results showed that bedload materials were yielded continuously in the granitic rock area, but only intermittently during the strong storm runoff in the sedimentary rock area. Our results indicate that future increase in the amount of bedload yield in sedimentary rock area will be proportional to rainfall in the granitic catchments, but may be variable in the sedimentary catchment depending on the sediment availability. The amount of bedload had no linear relation with catchment size. In the longterm, however, the impact on habitat stability can be substantial in both types of catchments, because annual amount of bedload will increase from year-to-year. Nevertheless, out results indicate that an improvement of the existing methods for predicting the trends of bedload yield is needed for the appropriate management and conservation of mountainous watersheds.</t>
  </si>
  <si>
    <t>Natl Inst Agroenvironm Sci, Dept Nat Resources, Tsukuba, Ibaraki 3050821, Japan; Hiroshima Univ, Dept Integrated Arts &amp; Sci, Higashihiroshima 7398521, Japan; Univ Ryukyus 1, Dept Geog, Okinawa 9030213, Japan; Hiroshima Univ, Higashihiroshima 7398521, Japan</t>
  </si>
  <si>
    <t>National Institute for Agro-Environmental Sciences (NIAES) Japan; Hiroshima University; University of the Ryukyus; Hiroshima University</t>
  </si>
  <si>
    <t>Noda, T (corresponding author), Natl Inst Agroenvironm Sci, Dept Nat Resources, 2-203,3-10-17 Kasuga, Tsukuba, Ibaraki 3050821, Japan.</t>
  </si>
  <si>
    <t>Onodera, Shin-ichi/A-9250-2018</t>
  </si>
  <si>
    <t>10.2307/1552553</t>
  </si>
  <si>
    <t>WOS:000172713800009</t>
  </si>
  <si>
    <t>Zah, R; Niederöst, M; Rinderspacher, H; Uehlinger, U; Ward, JV</t>
  </si>
  <si>
    <t>Long-term dynamics of the channel network in a glacial floodplain, Val Roseg, Switzerland</t>
  </si>
  <si>
    <t>The fluvial system in the upper Val Roseg in the Swiss Alps is characterized by a complex glacial floodplain. To analyze the changes in floodplain morphology between 1947 and 1999, a period during which the two main glaciers lost 700 to 1600 m in length, ten sets of aerial images were rectified and channel network and active floodplain area were digitized into a Geographic Information System (GIS). Changes mainly included an increase in the active floodplain width in the upper part of the floodplain. In the 100- to 500-m wide floodplain, the average lateral shift of the main channel ranged from 2 to 10 m yr(-1), While the channel network was continuously renewed at a turnover rate of 25% per year, the overall structure of the Roseg floodplain remained relatively constant, despite rapid glacial retreat that increased the availability of glacial sediments potentially susceptible to fluvial transport. The sinuosity index averaged 1.15 +/- 0.01 and the braiding index 4.6 +/- 1.2. Only the connectivity index showed high variation (6.6 +/- 5.0), about 34% of which may be attributed to variation in discharge.</t>
  </si>
  <si>
    <t>EMPA, Dept Ecol, CH-9014 St Gallen, Switzerland; ETH Honggerberg, Inst Geodet &amp; Photogrammetry, CH-8093 Zurich, Switzerland; ETH, EAWAG, Dept Limnol, CH-8600 Dubendorf, Switzerland</t>
  </si>
  <si>
    <t>Swiss Federal Institutes of Technology Domain; Swiss Federal Laboratories for Materials Science &amp; Technology (EMPA); Swiss Federal Institutes of Technology Domain; ETH Zurich; Swiss Federal Institutes of Technology Domain; Swiss Federal Institute of Aquatic Science &amp; Technology (EAWAG)</t>
  </si>
  <si>
    <t>EMPA, Dept Ecol, Lerchenfeldstr 5, CH-9014 St Gallen, Switzerland.</t>
  </si>
  <si>
    <t>rainer.zah@empa.ch</t>
  </si>
  <si>
    <t>10.2307/1552554</t>
  </si>
  <si>
    <t>Bronze, Green Published</t>
  </si>
  <si>
    <t>WOS:000172713800010</t>
  </si>
  <si>
    <t>Hieber, M; Robinson, CT; Rushforth, SR; Uehlinger, U</t>
  </si>
  <si>
    <t>Algal communities associated with different alpine stream types</t>
  </si>
  <si>
    <t>DIATOM COMMUNITIES; PERIPHYTON; ECOLOGY</t>
  </si>
  <si>
    <t>We investigated major physical-chemical characteristics and benthic algae of different alpine lotic systems comprising streams and lake outlets of rhithral and, kryal origin over an annual cycle. We also evaluated the structure of the algal communities and its relation to environmental characteristics for the different stream types. Algal communities, were generally dominated by diatoms, Cyanophyta, and Hydrurusfoetidus (Chrysophyceae). Community structure was similar among alpine streams and lake outlets, but more algal taxa occurred in take outlets (rhithral and kryal) than in kryal streams. Although algae were identified mainly to genera, distinct patterns in community structure were evident. A major environmental determinant of the algal community among stream types was the presence of a glacier and resulting seasonal differences in flow, temperature. and turbidity. An upstream lake was a secondary determinant in buffering seasonal fluctuations in environmental conditions thus leading to greater stability. Algal communities, consequently, were more diverse and less seasonally variable at lake outlets. The diatom genera Amphora, Denticula, Fragilaria, Gomphonema, Nitzschia, and Synedra and the blue-green algae Oscillatoria and Phormidium were characteristic of lake outlets, whereas Chamaesiphon (blue-green) and Hydrurus foetidus were indicative of kryal sites.</t>
  </si>
  <si>
    <t>ETH, EAWAG, Dept Limnol, CH-8600 Dubendorf, Switzerland; Brigham Young Univ, Dept Bot &amp; Range Sci, Provo, UT 84602 USA</t>
  </si>
  <si>
    <t>Swiss Federal Institutes of Technology Domain; Swiss Federal Institute of Aquatic Science &amp; Technology (EAWAG); Brigham Young University</t>
  </si>
  <si>
    <t>ETH, EAWAG, Dept Limnol, Uberlandstr 133, CH-8600 Dubendorf, Switzerland.</t>
  </si>
  <si>
    <t>hieber@eawag.ch</t>
  </si>
  <si>
    <t>10.2307/1552555</t>
  </si>
  <si>
    <t>Bronze, Green Accepted</t>
  </si>
  <si>
    <t>WOS:000172713800011</t>
  </si>
  <si>
    <t>Malard, F; Lafont, M; Burgherr, P; Ward, JV</t>
  </si>
  <si>
    <t>A comparison of longitudinal patterns in hyporheic and benthic oligochaete assemblages in a glacial river</t>
  </si>
  <si>
    <t>DESERT STREAM ECOSYSTEM; FRENCH UPPER RHONE; WATER; FLOODPLAIN; GROUNDWATER; COMMUNITIES; SWITZERLAND; DISCHARGE; MEIOFAUNA; EXCHANGE</t>
  </si>
  <si>
    <t>This paper examines the longitudinal pattern of oligochaetes in the hyporheic and benthic layers of a glacial river (Val Roseg, Switzerland). We hypothesized that the spatial distribution of oligochaete communities would reflect changes in surface water/groundwater interactions along the river continuum. From June to November 1997 (4 dates), three hyporheic and three benthic samples were collected at 11 and 9 sites, respectively, located over a distance of I I km from the glacier terminus. A two-ended member mixing model based on concentrations of sodium was used to determine changes in the relative proportions of glacial water and groundwater along the river. The longitudinal increase in the diversity and abundance of hyporheic assemblages of oligochaetes was closely linked to the convergence of groundwater and surface glacial water. The differential distribution of hyporheic and benthic assemblages suggested that the hyporheic corridor acted as the main upstream migration pathway for oligochaetes, In this glacial river, the hyporheic zone appeared as a source area from which benthic habitats presenting suitable environmental conditions could be colonized.</t>
  </si>
  <si>
    <t>Univ Lyon 1, Ecol Hydrosyst Fluviaux, CNRS, UMR 5023, F-69622 Villeurbanne, France; UR Hydrobiol, F-69336 Lyon 09, France; ETH, EAWAG, Dept Limnol, CH-8600 Dubendorf, Switzerland</t>
  </si>
  <si>
    <t>Centre National de la Recherche Scientifique (CNRS); CNRS - Institute of Ecology &amp; Environment (INEE); Universite Claude Bernard Lyon 1; Swiss Federal Institutes of Technology Domain; Swiss Federal Institute of Aquatic Science &amp; Technology (EAWAG)</t>
  </si>
  <si>
    <t>Malard, F (corresponding author), Univ Lyon 1, Ecol Hydrosyst Fluviaux, CNRS, UMR 5023, Bat 403,43 Bd 11 Novembre 1918, F-69622 Villeurbanne, France.</t>
  </si>
  <si>
    <t>Burgherr, Peter/E-7361-2013</t>
  </si>
  <si>
    <t>Burgherr, Peter/0000-0001-6150-5035</t>
  </si>
  <si>
    <t>10.2307/1552556</t>
  </si>
  <si>
    <t>WOS:000172713800012</t>
  </si>
  <si>
    <t>Winder, M; Monaghan, MT; Spaak, P</t>
  </si>
  <si>
    <t>Have human impacts changed alpine zooplankton diversity over the past 100 years?</t>
  </si>
  <si>
    <t>SELECTIVE PREDATION; DAPHNIA; CRUSTACEA; HYBRIDIZATION; POPULATION; EVOLUTION; TROUT; FISH</t>
  </si>
  <si>
    <t>Anthropogenic stress and fish introduction generally are thought to have eliminated vulnerable and sensitive zooplankton species from many alpine lakes, creating impoverished communities. To investigate this hypothesis we resampled lakes studied in the early 20th century and compared past and present zooplankton composition and taxa richness. We also studied how human induced changes may influence genetic diversity of present-day populations of the widespread cladoceran, Daphnia. Resampling did not show a drastic overall change in planktonic crustacean composition. Taxa richness significantly decreased with increasing lake altitude, but no other environmental factor correlated with richness. Large zooplankton taxa were found in lakes both with and without fish. Therefore we conclude that the presence of fish can be excluded as the general factor explaining the occurrence or absence of large zooplankton in alpine lakes. Levels of chlorophyll a and POC best distinguished lakes with Daphnia from lakes without Daphnia. In 8 out of 12 lakes sexual Daphnia were more abundant than asexual individuals. Clonal diversity ranged from 0.01 to 1.3 but was not related to the proportion of sexual individuals. The ability to create resting stages may be an essential factor for the maintenance of genetic diversity and the long-term persistence of Daphnia and other zooplankton taxa.</t>
  </si>
  <si>
    <t>ETH, EAWAG, Swiss Fed Inst Environm Sci &amp; Technol, Dept Limnol, CH-8600 Dubendorf, Switzerland</t>
  </si>
  <si>
    <t>ETH, EAWAG, Swiss Fed Inst Environm Sci &amp; Technol, Dept Limnol, Uberlandstr 133,POB 611, CH-8600 Dubendorf, Switzerland.</t>
  </si>
  <si>
    <t>winder@eawag.ch</t>
  </si>
  <si>
    <t>Winder, Monika/F-5318-2016; Monaghan, Michael T/A-2589-2009</t>
  </si>
  <si>
    <t>Winder, Monika/0000-0001-9467-3035; Monaghan, Michael T/0000-0001-6200-2376</t>
  </si>
  <si>
    <t>10.2307/1552557</t>
  </si>
  <si>
    <t>WOS:000172713800013</t>
  </si>
  <si>
    <t>Borgstrom, R</t>
  </si>
  <si>
    <t>Relationship between spring snow depth and growth of brown trout, Salmo trutta, in an alpine lake:: Predicting consequences of climate change</t>
  </si>
  <si>
    <t>FISH</t>
  </si>
  <si>
    <t>Growth of brown trout in the alpine lake Litlosvatn, 1172 m a.s.l. on the Hardangervidda mountain plateau in western Norway, has been studied in relation to annual variations in accumulated spring snow, and date of ice-breaks during the period 1991-1998. The annual growth was negatively correlated with the spring snow, depth. During the years 1992-1995, a period with mean spring snow depth at 275 cm, the observed average annual growth of the age-classes 6-8 was 3.5 cin, or a reduction of about 50% compared to years with much less snow in spring (1991 and 1996). Average spring snow depth during the period 1990-1999 was 220 cm, while the average for the period 1930-1979 was 169 cm. A further increase in winter precipitation, resulting in even more accumulated spring snow compared to the 1990-1999 level, would result in further reduction in growth of brown trout in the lake. Thus, the present catchable size of brown trout would probably not be reached, due to increased Population density and an additional density dependent growth, A climate change, resulting in more snowfall in the whole alpine region of West Norway, as predicted by climate models, may therefore have an important negative effect oil fish production and fisheries in a whole region.</t>
  </si>
  <si>
    <t>Agr Univ Norway, Dept Biol &amp; Nature Conservat, N-1432 As, Norway</t>
  </si>
  <si>
    <t>Norwegian University of Life Sciences</t>
  </si>
  <si>
    <t>Borgstrom, R (corresponding author), Agr Univ Norway, Dept Biol &amp; Nature Conservat, Box 5014, N-1432 As, Norway.</t>
  </si>
  <si>
    <t>10.2307/1552558</t>
  </si>
  <si>
    <t>WOS:000172713800014</t>
  </si>
  <si>
    <t>Ponel, P; Parchoux, F; Andrieu-Ponel, V; Juhasz, I; de Beaulieu, JL</t>
  </si>
  <si>
    <t>A late-glacial-holocene fossil insect succession from Vallee des Merveilles, French Alps, and its paleoecological implications</t>
  </si>
  <si>
    <t>ASSEMBLAGES; FRANCE</t>
  </si>
  <si>
    <t>We studied the composition of assemblages of fossil insects from the Quaternary in the high- altitude Lac Long Inferieur located at 2090 m a.s.l in the Vallee des Merveilles (southern French Alps). The insect assemblages extracted from the lake sedimentary sequence were divided into five faunal units, which enable us to reconstruct the evolution of paleoenvironments from the Wurmian ice retreat to the present. Our results indicate that the periglacial desert was replaced by steppic environments, followed by the rise of the treeline and the establishment of a mature conifer forest, which ended in the final collapse of the forest cover. Human action was clearly responsible for this last event, but in contrast to other alpine sites, agropastoral activities around the lake itself were not clearly indicated by insect data. Comparisons between insect and pollen data for the same sedimentary sequence agreed in most cases, but these two approaches have a complementary value when they are applied on the same site.</t>
  </si>
  <si>
    <t>CNRS, IMEP, Fac Sci St Jerome, Lab Bot Hist &amp; Palynol, F-13397 Marseille 20, France</t>
  </si>
  <si>
    <t>Aix-Marseille Universite; Centre National de la Recherche Scientifique (CNRS)</t>
  </si>
  <si>
    <t>Ponel, P (corresponding author), CNRS, IMEP, Fac Sci St Jerome, Lab Bot Hist &amp; Palynol, ESA 6116,Case 451, F-13397 Marseille 20, France.</t>
  </si>
  <si>
    <t>ANDRIEU-PONEL, Valerie/J-2818-2014; Ponel, Philippe PP/J-6000-2014</t>
  </si>
  <si>
    <t>ANDRIEU-PONEL, Valerie/0000-0001-7044-967X;</t>
  </si>
  <si>
    <t>10.2307/1552559</t>
  </si>
  <si>
    <t>WOS:000172713800015</t>
  </si>
  <si>
    <t>Kerminen, VM; Hillamo, R; Teinilä, K; Pakkanen, T; Allegrini, I; Sparapani, R</t>
  </si>
  <si>
    <t>Ion balances of size-resolved tropospheric aerosol samples:: implications for the acidity and atmospheric processing of aerosols</t>
  </si>
  <si>
    <t>ATMOSPHERIC ENVIRONMENT</t>
  </si>
  <si>
    <t>atmospheric aerosol; inorganic ions; aerosol chemistry; gas-particle interactions</t>
  </si>
  <si>
    <t>MARINE BOUNDARY-LAYER; DICARBOXYLIC-ACIDS; ANTARCTIC AEROSOL; MINERAL AEROSOL; INORGANIC-IONS; AIR-POLLUTION; SEA-SALT; DISTRIBUTIONS; CHEMISTRY; MODEL</t>
  </si>
  <si>
    <t>A large set of size-resolved aerosol samples was inspected with regard to their ion balance to shed light on how the aerosol acidity changes with particle size in the lower troposphere and what implications this might have for the atmospheric processing of aerosols. Quite different behaviour between the remote and more polluted environments could be observed. At the remote sites, practically the whole accumulation mode had cation-to-anion ratios clearly below unity, indicating that these particles were quite acidic. The supermicron size range was considerably less acidic and may in some cases have been close to neutral or even alkaline. An interesting feature common to the remote sites was a clear jump in the cation-to-anion ratio when going from the accumulation to the Aitken mode. The most likely reason for this was cloud processing which, via in-cloud sulphate production, makes the smallest accumulation-mode particles more acidic than the non-activated Aitken-mode particles. A direct consequence of the less acidic nature of the Aitken mode is that it can take up semi-volatile, water-soluble gases much easier than the accumulation mode. This feature may have significant implications for atmospheric cloud condensation nuclei production in remote environments, In rural and urban locations, the cation-to-anion ratio was close to unity over most of the accumulation mode, but increased significantly when going to either larger or smaller particle sizes. The high cation-to-anion ratios in the supermicron size range were ascribed to carbonate associated with mineral dust. The ubiquitous presence of carbonate in these particles indicates that they were neutral or alkaline, making them good sites for heterogeneous reactions involving acidic trace gases. The high cation-to-anion ratios in the Aitken mode suggest that these particles contained some water-soluble anions not detected by our chemical analysis. This is worth keeping in mind when investigating the hygroscopic properties or potential health effects of ultrafine particles in polluted environments. (C) 2001 Elsevier Science Ltd. All rights reserved.</t>
  </si>
  <si>
    <t>Finnish Meteorol Inst, Air Qual Res, FIN-00810 Helsinki, Finland; CNR, Inst Atmospher Pollut, I-00016 Monterotondo, Italy</t>
  </si>
  <si>
    <t>Finnish Meteorological Institute; Consiglio Nazionale delle Ricerche (CNR); Istituto Sull'inquinamento Atmosferico (IIA-CNR)</t>
  </si>
  <si>
    <t>Kerminen, VM (corresponding author), Finnish Meteorol Inst, Air Qual Res, Sahaajankatu 20E, FIN-00810 Helsinki, Finland.</t>
  </si>
  <si>
    <t>allegrini, ivo/HJI-6081-2023; Kerminen, Veli-Matti/M-9026-2014</t>
  </si>
  <si>
    <t>1352-2310</t>
  </si>
  <si>
    <t>ATMOS ENVIRON</t>
  </si>
  <si>
    <t>Atmos. Environ.</t>
  </si>
  <si>
    <t>10.1016/S1352-2310(01)00345-4</t>
  </si>
  <si>
    <t>Environmental Sciences; Meteorology &amp; Atmospheric Sciences</t>
  </si>
  <si>
    <t>Environmental Sciences &amp; Ecology; Meteorology &amp; Atmospheric Sciences</t>
  </si>
  <si>
    <t>488BC</t>
  </si>
  <si>
    <t>WOS:000171913300003</t>
  </si>
  <si>
    <t>Ferrari, CP; Clotteau, T; Thompson, LG; Barbante, C; Cozzi, G; Cescon, P; Hong, SM; Maurice-Bourgoin, L; Francou, B; Boutron, CF</t>
  </si>
  <si>
    <t>Heavy metals in ancient tropical ice: initial results</t>
  </si>
  <si>
    <t>heavy metals; tropical ice; Bolivia; last glacial maximum; Holocene</t>
  </si>
  <si>
    <t>ANTARCTIC SNOW RECORD; CENTRAL GREENLAND; ALPINE SNOW; MICROCONCENTRIC NEBULIZATION; CADMIUM CONCENTRATIONS; LEAD POLLUTION; COPPER; CORES; ATMOSPHERE; ZINC</t>
  </si>
  <si>
    <t>Although a wealth of fascinating data have been obtained through the investigation of heavy metals in Greenland, Antarctic and Alpine snow and ice cores, heavy metals have until now never been measured in tropical snow and ice cores despite the great interest of such low latitude cores. We present here preliminary data on the occurrence of Al, Na, Ti, V, Cr, Mn, Co, Cu, Zn, Mo, Pd, Ag, Cd, Sb, Ba, Pt. Au, Pb, Bi and U in a dated ice core drilled at an altitude of 6542 m on the top of Sajama in Bolivia. These data were obtained by analysing four core sections dated 22,000 BP (Last Glacial Maximum, LGM), 8000 BP (early Holocene, EH), AD1650 and AD1897, using ultrasensitive ICP-SF-MS. Concentrations observed in LGM ice are similar to those measured in EH ice. Al. Na, Ti, V, Cr, Mn, Co, Ba and U are found to derive mainly from rock and soil dust. For the other metals, additional contributions from other sources are needed to explain the observed concentrations. (C) 2001 Elsevier Science Ltd. All rights reserved.</t>
  </si>
  <si>
    <t>CNRS, Lab Glaciol &amp; Geophys Environm, F-38402 St Martin Dheres, France; Univ Grenoble 1, Inst Sci &amp; Tech, F-38041 Grenoble, France; Ohio State Univ, Byrd Polar Res Ctr, Dept Geol Sci, Columbus, OH 43210 USA; Univ Venice, Dipartimento Sci Ambientali, I-30123 Venice, Italy; Korea Ocean Res &amp; Dev Inst, Polar Sci Lab, Seoul 425600, South Korea; Inst Rech Dev Bolivie, La Paz, Bolivia; Univ Grenoble 1, Observ Sci Univers, Inst Univ France, F-38041 Grenoble, France; Univ Grenoble 1, Unite Format &amp; Rech Phys, Inst Univ France, F-38041 Grenoble, France</t>
  </si>
  <si>
    <t>Centre National de la Recherche Scientifique (CNRS); Communaute Universite Grenoble Alpes; Universite Grenoble Alpes (UGA); University System of Ohio; Ohio State University; Universita Ca Foscari Venezia; Korea Institute of Ocean Science &amp; Technology (KIOST); Communaute Universite Grenoble Alpes; Universite Grenoble Alpes (UGA); Institut Universitaire de France; Institut Universitaire de France; Communaute Universite Grenoble Alpes; Universite Grenoble Alpes (UGA)</t>
  </si>
  <si>
    <t>Boutron, CF (corresponding author), CNRS, Lab Glaciol &amp; Geophys Environm, 54 Rue Moliere,BP 96, F-38402 St Martin Dheres, France.</t>
  </si>
  <si>
    <t>Cozzi, Giulio/R-4554-2019; Maurice, Laurence/T-2636-2019; Cozzi, Giulio/F-6473-2010; Barbante, Carlo/B-3195-2011; Maurice, Laurence/H-5763-2015</t>
  </si>
  <si>
    <t>Cozzi, Giulio/0000-0001-8796-4176; Maurice, Laurence/0000-0003-3482-3892; Cescon, Paolo/0000-0003-1836-6759; Barbante, Carlo/0000-0003-4177-2288</t>
  </si>
  <si>
    <t>10.1016/S1352-2310(01)00347-8</t>
  </si>
  <si>
    <t>495RV</t>
  </si>
  <si>
    <t>WOS:000172354900012</t>
  </si>
  <si>
    <t>Bearhop, S; Thompson, DR; Phillips, RA; Waldron, S; Hamer, KC; Gray, CM; Votier, SC; Ross, BP; Furness, RW</t>
  </si>
  <si>
    <t>Annual variation in Great Skua diets: The importance of commercial fisheries and predation on seabirds revealed by combining dietary analyses</t>
  </si>
  <si>
    <t>CONDOR</t>
  </si>
  <si>
    <t>dietary analyses; fisheries; pellets; regurgitates; seabirds; stable isotopes</t>
  </si>
  <si>
    <t>CATHARACTA-SKUA; STABLE ISOTOPES; TROPHIC RELATIONSHIPS; FOOD AVAILABILITY; ST-KILDA; MARINE; DELTA-C-13; WATER; SHETLAND; ECOLOGY</t>
  </si>
  <si>
    <t>This study combines conventional dietary assessment with stable isotope techniques to describe Great Skua (Stercorarius skua) diet. Stable carbon and nitrogen isotope ratios in feathers of Great Skua chicks collected over three years were analyzed in conjunction with pellet and regurgitate collection. A significant drop in trophic status was detected in 1997, which likely resulted from an increase in herring and mackerel in the diet. These items were almost certainly obtained from a commercial trawler, as evidenced by a significant drop in territorial attendance during the ship's absence. Feathers yielded significantly different delta C-13 values among years, and part of this may have been related to a period of enhanced phytoplankton growth during 1996. A combined approach, such as the one described here, is likely to become increasingly useful in elucidating the diets of polyphagous birds.</t>
  </si>
  <si>
    <t>Univ Glasgow, Inst Biomed &amp; Life Sci, Ornithol Grp, Glasgow G12 8QQ, Lanark, Scotland; Univ Durham, Dept Biol Sci, Durham DH1 3LE, England; Natl Inst Water &amp; Atmospher Res, Wellington, New Zealand; British Antarctic Survey, Cambridge CB3 0ET, England; SUERC, Glasgow G75 0QF, Lanark, Scotland</t>
  </si>
  <si>
    <t>University of Glasgow; Durham University; National Institute of Water &amp; Atmospheric Research (NIWA) - New Zealand; UK Research &amp; Innovation (UKRI); Natural Environment Research Council (NERC); NERC British Antarctic Survey; Scottish Universities Research &amp; Reactor Center</t>
  </si>
  <si>
    <t>Bearhop, S (corresponding author), Univ Glasgow, Inst Biomed &amp; Life Sci, Ornithol Grp, Graham Kerr Bldg, Glasgow G12 8QQ, Lanark, Scotland.</t>
  </si>
  <si>
    <t>Votier, Stephen/IUO-0154-2023; Bearhop, Stuart/G-3105-2012</t>
  </si>
  <si>
    <t>Votier, Stephen/0000-0002-0976-0167; Bearhop, Stuart/0000-0002-5864-0129; WALDRON, SUSAN/0000-0002-2683-0761</t>
  </si>
  <si>
    <t>COOPER ORNITHOLOGICAL SOC</t>
  </si>
  <si>
    <t>LAWRENCE</t>
  </si>
  <si>
    <t>ORNITHOLOGICAL SOC NORTH AMER PO BOX 1897, LAWRENCE, KS 66044-8897 USA</t>
  </si>
  <si>
    <t>0010-5422</t>
  </si>
  <si>
    <t>Condor</t>
  </si>
  <si>
    <t>10.1650/0010-5422(2001)103[0802:AVIGSD]2.0.CO;2</t>
  </si>
  <si>
    <t>Ornithology</t>
  </si>
  <si>
    <t>491XM</t>
  </si>
  <si>
    <t>WOS:000172135400014</t>
  </si>
  <si>
    <t>Armand, LK; Zielinski, U</t>
  </si>
  <si>
    <t>Diatom species of the genus Rhizosolenia from Southern Ocean sediments:: Distribution and taxonomic notes</t>
  </si>
  <si>
    <t>DIATOM RESEARCH</t>
  </si>
  <si>
    <t>INDIAN-OCEAN; NET PHYTOPLANKTON; SURFACE SEDIMENTS; PLANKTON DIATOMS; ATLANTIC SECTOR; HIGH-LATITUDES; WEDDELL SEA; IRON; ICE; WATERS</t>
  </si>
  <si>
    <t>The classification of diatom taxa in the genus Rhizosolenia Brightwell in Southern Ocean waters and sediments remains unclear. Our review demonstrates that considerable intertaxa confusion has occurred and continues to occur as a result of misapplied taxonomy. In general, valves of Rhizosolenia taxa within total diatom sediment assemblages are a minor, though common component, with only a few taxa sufficiently abundant for statistical analysis. We have endeavoured to clarify through literature and data set assessment the currently accepted taxon concepts in terms of otaria morphology, this being one of the most useful features available for the discrimination of fossil rhizosolenioids in Southern Ocean sediments. Otaria morphology allows separation of incomplete valves of preserved Rhizosolenia specimens to be determined from descriptions related to the complete cell. The identification of R. styliformis Brightwell, R. antennata f. semispina Sundstrom, and R. polydactyla Castracane f. polydactyla are addressed here in detail. The presence of Rhizosolenia species A, a taxon with similarities to the otaria-lacking, original descriptions of R. hebetata f. semispina (Hensen) Gran, is described and illustrated. Taxonomic notes, light microscopic representation and distributional data for several other Antarctic Rhizosolenia taxa are provided. The documentation of down-core occurrences of fossil rhizosolenioids in published material is poor. Our core material indicates relative abundance increases for Rhizosolenia species A and R. antennata f. semispina in glacial time sequences, which may constitute a valuable biostratigraphic tool for palaeoenvironmental reconstructions. Comments on winter resting stages are provided.</t>
  </si>
  <si>
    <t>Univ Tasmania, Inst Antarctic &amp; So Ocean Studies, Hobart, Tas 7001, Australia; Alfred Wegener Inst Polar &amp; Marine Res, D-27568 Bremerhaven, Germany</t>
  </si>
  <si>
    <t>University of Tasmania; Helmholtz Association; Alfred Wegener Institute, Helmholtz Centre for Polar &amp; Marine Research</t>
  </si>
  <si>
    <t>leanne.armand@utas.edu.au; ulrich.zielinski@bremerhaven.de</t>
  </si>
  <si>
    <t>Armand, Leanne K/C-9004-2009</t>
  </si>
  <si>
    <t>Armand, Leanne/0000-0003-3995-308X</t>
  </si>
  <si>
    <t>0269-249X</t>
  </si>
  <si>
    <t>2159-8347</t>
  </si>
  <si>
    <t>DIATOM RES</t>
  </si>
  <si>
    <t>Diatom Res.</t>
  </si>
  <si>
    <t>488NV</t>
  </si>
  <si>
    <t>WOS:000171943300001</t>
  </si>
  <si>
    <t>Sabbe, K; Vanhoutte, K; Lowe, RL; Bergey, EA; Biggs, BJF; Francoeur, S; Hodgson, D; Vyverman, W</t>
  </si>
  <si>
    <t>Six new Actinella (Bacillariophyta) species from Papua New Guinea, Australia and New Zealand:: further evidence for widespread diatom endemism, in the Australasian region</t>
  </si>
  <si>
    <t>EUROPEAN JOURNAL OF PHYCOLOGY</t>
  </si>
  <si>
    <t>Actinella; Australia; bacillariophyta; biogeography; endemism; morphology; New Zealand; Papua New Guinea; taxonomy</t>
  </si>
  <si>
    <t>FRESH-WATER; PHYLOGENETIC-RELATIONSHIPS; ULTRASTRUCTURE; BIOGEOGRAPHY; MORPHOLOGY; EVOLUTION; ALGAE; LAKE</t>
  </si>
  <si>
    <t>Examination of sediment samples from oligo-and dystrophic ponds, lakes and streams in Papua New Guinea. Australia and New Zealand revealed a hitherto unknown diversity of the diatom genus Actinella Lewis. Six new species are proposed, viz. Actinella aotearoaia sp. nov., A. giluwensis sp. nov., A indistincta sp. nov., A. muylaertii sp, nov., A. parva sp. nov. and A. pulchella sp. nov. All species are heteropolar, both in girdle and valve view. Novel information on the genus Actinella includes the observations of two ribbon-shaped. valve-appressed plastids in A. aotearoaia and A. pulchella, and the presence of long mucilage stalks in A. aotearoaia. It is argued that, despite recent proposals to reduce the genera Actinella and Desmogonium Ehrenberg to the rank of subgenera of Eunotia, they should be kept separate until the taxonomic significance of their distinctive morphological features (such as heteropolarity) is fully assessed. The new species appear to be endemic to Australasia and have distinct biogeographies within this region. Except for A, aotearoaia, all species are present in Tasmania. A. indistincta and A. pulchella have also been found in New Zealand (Stewart Island). A. aotearoaia is common in several localities in New Zealand but was also found near Sydney on the Australian mainland. Actinella giluwensis has only been observed in material from Papua New Guinea. The record of A. punctata for the latter country constitutes the first confirmed record for this species outside North America and Europe. The discovery of the new Actinella species again confirms the importance of the Australasian region as a major centre of microalgal biodiversity and endemism.</t>
  </si>
  <si>
    <t>Univ Ghent, Dept Biol, Lab Protistol &amp; Aquat Ecol, B-9000 Ghent, Belgium; Bowling Green State Univ, Dept Biol Sci, Bowling Green, OH 43403 USA; Natl Inst Water &amp; Atmospher Res Ltd, Christchurch, New Zealand; Univ Alabama, Dept Biol Sci, Tuscaloosa, AL 35487 USA; British Antarctic Survey, Cambridge CB3 OET, England</t>
  </si>
  <si>
    <t>Ghent University; University System of Ohio; Bowling Green State University; National Institute of Water &amp; Atmospheric Research (NIWA) - New Zealand; University of Alabama System; University of Alabama Tuscaloosa; UK Research &amp; Innovation (UKRI); Natural Environment Research Council (NERC); NERC British Antarctic Survey</t>
  </si>
  <si>
    <t>Univ Ghent, Dept Biol, Lab Protistol &amp; Aquat Ecol, KL Ledeganckstr 35, B-9000 Ghent, Belgium.</t>
  </si>
  <si>
    <t>Koen.Sabbe@rug.ac.be</t>
  </si>
  <si>
    <t>Dasseville, Renaat/B-3561-2010</t>
  </si>
  <si>
    <t>Bergey, Elizabeth/0000-0002-7160-6590; Biggs, Barry J. F./0000-0002-7482-485X</t>
  </si>
  <si>
    <t>0967-0262</t>
  </si>
  <si>
    <t>1469-4433</t>
  </si>
  <si>
    <t>EUR J PHYCOL</t>
  </si>
  <si>
    <t>Eur. J. Phycol.</t>
  </si>
  <si>
    <t>10.1080/09670260110001735478</t>
  </si>
  <si>
    <t>Plant Sciences; Marine &amp; Freshwater Biology</t>
  </si>
  <si>
    <t>497LF</t>
  </si>
  <si>
    <t>WOS:000172456300004</t>
  </si>
  <si>
    <t>Hall, K; André, MF</t>
  </si>
  <si>
    <t>New insights into rock weathering from high-frequency rock temperature data:: an Antarctic study of weathering by thermal stress</t>
  </si>
  <si>
    <t>GEOMORPHOLOGY</t>
  </si>
  <si>
    <t>weathering; rock temperatures; high-frequency measurements; thermal stress; thermal shock; Antarctica</t>
  </si>
  <si>
    <t>CRYPTOENDOLITHIC MICROBIAL ENVIRONMENT; DESERT; ISLAND</t>
  </si>
  <si>
    <t>A major limitation of many weathering studies has been the acquisition of rock temperature data at insufficiently frequent intervals for the meaningful determination of the rate of change of temperature (DeltaT/t). Equipment and/or logistical constraints frequently facilitate temperature measurement at only hourly intervals or, at best, every 10 min. Such data are not adequate for the determination of DeltaT/t required for the evaluation of the freeze-thaw mechanism or thermal stress fatigue. Recent undertakings at different sites in Antarctica (and at other cold-region locations) provide rock temperature measurements at 1-min intervals, which indicate that the perception of the weathering regime would be very different from that generally assumed from longer-interval geomorphological data. These data clearly show that thermal stress fatigue and thermal shock may be more active components of the Antarctic weathering regime than have generally been recognised; the aridity of the study area limits the role of freeze-thaw weathering. Values of DeltaT/t of greater than or equal to 2 degreesC min(-1) that suggest thermal stress fatigue/shock is operative were recorded; observations of rock flaking are thought to reflect the impact of thermal stress. Further, the data show that contrary to general perceptions, the southern aspect can, in summer, experience higher rock surface temperatures than the north-facing exposure. An examination of rock fracture patterns found in the field shows great similarity to fracture patterns developed in the laboratory as a direct result of thermal shock. The argument is made that greater cognizance should be given to thermal effects. (C) 2001 Elsevier Science B.V. All rights reserved.</t>
  </si>
  <si>
    <t>Univ No British Colombia, Geog Program, Prince George, BC V2N 4Z9, Canada; Univ Clermont Ferrand, Lab Geog Phys, Upres A 6042 CNRS, F-63057 Clermont Ferrand, France</t>
  </si>
  <si>
    <t>Hall, K (corresponding author), Univ No British Colombia, Geog Program, 3333 Univ Way, Prince George, BC V2N 4Z9, Canada.</t>
  </si>
  <si>
    <t>0169-555X</t>
  </si>
  <si>
    <t>Geomorphology</t>
  </si>
  <si>
    <t>10.1016/S0169-555X(01)00101-5</t>
  </si>
  <si>
    <t>Geography, Physical; Geosciences, Multidisciplinary</t>
  </si>
  <si>
    <t>Physical Geography; Geology</t>
  </si>
  <si>
    <t>487TB</t>
  </si>
  <si>
    <t>WOS:000171890400003</t>
  </si>
  <si>
    <t>Henry, C; Das, S</t>
  </si>
  <si>
    <t>Aftershock zones of large shallow earthquakes: fault dimensions, aftershock area expansion and scaling relations</t>
  </si>
  <si>
    <t>GEOPHYSICAL JOURNAL INTERNATIONAL</t>
  </si>
  <si>
    <t>aftershocks; earthquakes; fault dimensions; scaling relations</t>
  </si>
  <si>
    <t>STRIKE-SLIP EARTHQUAKES; MACQUARIE RIDGE EARTHQUAKE; 1977 SUMBA EARTHQUAKE; RUPTURE PROPAGATION; TSUNAMI EARTHQUAKE; SOURCE PARAMETERS; SOURCE MECHANISM; DYNAMIC RUPTURE; MOMENT TENSOR; REAPPRAISAL</t>
  </si>
  <si>
    <t>We determine the aftershock areas froth relocated hypocentres for 64 dip-slip and eight strike-slip earthquakes in the period 1977-1996 together with those for three recent earthquakes, the 1998 Antarctic plate earthquake, the 1999 Izmit, Turkey earthquake and the 2000 Wharton Basin earthquake. We also include the data for 27 strike-slip earthquakes from Pegler &amp; Das (1996). We find that the location of the hypocentre is essentially random along strike for both strike-slip and dip-slip earthquakes. Subduction zone earthquakes appear to initiate more frequently towards the down-dip edge of the fault, whereas the non-subduction zone dip-slip earthquakes do not have any preferred depth of initiation. The aftershock zones of subduction zone earthquakes often expand substantially along strike and up dip but far less in the down-dip direction. whereas those for non-subduction zone earthquakes do not expand significantly in either the up- or the down-dip direction. Subduction zone thrust earthquakes have larger and more numerous aftershocks than earthquakes in all other tectonic settings. For strike-slip earthquakes, we find that slip increases at least linearly with length. For dip-slip earthquakes, we find that the ratio of length to width increases systematically with length for lengths &gt;40 km, indicating that there is some restriction on fault width; slip is found to be proportional to length over the moment range 10(17) N m &lt; M-0 &lt; 3 x 10(21) N m, taking our data in conjunction with the data of Wells &amp; Coppersmith (1994).</t>
  </si>
  <si>
    <t>Univ Oxford, Dept Earth Sci, Oxford OX1 3PR, England</t>
  </si>
  <si>
    <t>University of Oxford</t>
  </si>
  <si>
    <t>Univ Oxford, Dept Earth Sci, Parks Rd, Oxford OX1 3PR, England.</t>
  </si>
  <si>
    <t>shamita.das@earth.ox.ac.uk</t>
  </si>
  <si>
    <t>0956-540X</t>
  </si>
  <si>
    <t>1365-246X</t>
  </si>
  <si>
    <t>GEOPHYS J INT</t>
  </si>
  <si>
    <t>Geophys. J. Int.</t>
  </si>
  <si>
    <t>10.1046/j.1365-246X.2001.00522.x</t>
  </si>
  <si>
    <t>491FZ</t>
  </si>
  <si>
    <t>WOS:000172099200004</t>
  </si>
  <si>
    <t>Kase, Y; Kuge, K</t>
  </si>
  <si>
    <t>Rupture propagation beyond fault discontinuities: significance of fault strike and location</t>
  </si>
  <si>
    <t>cracks; fault models; fractures; rupture propagation</t>
  </si>
  <si>
    <t>ANTARCTIC PLATE EARTHQUAKE; MARCH 25; DYNAMIC NUCLEATION; 3D SIMULATIONS; MOMENT TENSOR; CALIFORNIA; LANDERS; SLIP; VELOCITY; GEOMETRY</t>
  </si>
  <si>
    <t>Earthquake rupture sometimes occurs on several faults, and often decelerates or terminates at fault stopovers. Factors that control the rupture processes across stopovers are important for an understanding of earthquake growth and termination. In this study, we investigate such factors by calculating the spontaneous rupture processes of two non-coplanar faults in a 3-D model. Dealing with two extreme models in which two strike-slip faults are either parallel or perpendicular, we show that the rupture processes beyond fault discontinuities are drastically different for the two models. We find three factors influencing rupture processes beyond fault discontinuities: depth of the upper edge of the two faults, location of the edge of the first fault and geometry of the two faults. These factors determine the time and location of rupture jumps to the second fault. For rupture propagation to the second fault, it is essential for rupture on the first fault to arrive at the edge of the fault. In particular, whether rupture on the first fault reaches the Earth's surface or not controls the difficulty of rupture jumps and the locations where the rupture is triggered, which is also related to the step direction of the two faults. This is because the stress perturbation at the fault edge is affected by the Earth's free surface.</t>
  </si>
  <si>
    <t>Kyoto Univ, Dept Geophys, Kyoto 6068502, Japan; Natl Inst Adv Ind Sci &amp; Technol, Act Fault Res Ctr, Tsukuba, Ibaraki, Japan</t>
  </si>
  <si>
    <t>Kyoto University; National Institute of Advanced Industrial Science &amp; Technology (AIST)</t>
  </si>
  <si>
    <t>Kase, Y (corresponding author), Natl Inst Adv Ind Sci &amp; Technol, Act Fault Res Ctr, Tsukuba, Ibaraki, Japan.</t>
  </si>
  <si>
    <t>Kase, Yuko/M-6830-2018</t>
  </si>
  <si>
    <t>Kase, Yuko/0000-0002-6058-7654</t>
  </si>
  <si>
    <t>BLACKWELL SCIENCE LTD</t>
  </si>
  <si>
    <t>P O BOX 88, OSNEY MEAD, OXFORD OX2 0NE, OXON, ENGLAND</t>
  </si>
  <si>
    <t>10.1046/j.1365-246X.2001.00533.x</t>
  </si>
  <si>
    <t>WOS:000172099200008</t>
  </si>
  <si>
    <t>Sturges, WT; Penkett, SA; Barnola, JM; Chappellaz, J; Atlas, E; Stroud, V</t>
  </si>
  <si>
    <t>A long-term record of carbonyl sulfide (COS) in two hemispheres from firn air measurements</t>
  </si>
  <si>
    <t>TRACE GAS CONCENTRATIONS; LOWER STRATOSPHERE; POLAR FIRN; COLUMN ABUNDANCES; TROPOSPHERE; OCS; TRENDS; DISTRIBUTIONS; SPECTROSCOPY; ATMOSPHERE</t>
  </si>
  <si>
    <t>Carbonyl sulfide (COS) was measured in polar firn air from one Arctic and two Antarctic locations. The air samples represent atmospheric composition from the early to mid-20th century up to the present day. This provides the longest record to date of atmospheric COS. Southern Hemispheric (SH) concentrations appear to have been almost constant at 482 +/- 13 ppt over this period, apart from a slight rise in the earliest part of the record. Northern Hemispheric (NH) concentrations also showed relatively little variation with a mean of 525 +/- 17 ppt. Over the last ten years, however, NH concentrations appear to have declined by about 8 +/- 5%. Such a decline might be due to decreased carbon disulfide (CS2) emissions by the viscose-rayon industry. The absence of any large trend in COS concentrations over the last fifty or more years argues against COS being the origin of reported increases in stratospheric sulfate aerosol.</t>
  </si>
  <si>
    <t>Univ E Anglia, Sch Environm Sci, Norwich NR4 7TJ, Norfolk, England; CNRS, Lab Glaciol &amp; Geophys Environm, F-38402 St Martin Dheres, France; Natl Ctr Atmospher Res, Div Atmospher Chem, Boulder, CO 80307 USA</t>
  </si>
  <si>
    <t>University of East Anglia; Centre National de la Recherche Scientifique (CNRS); National Center Atmospheric Research (NCAR) - USA</t>
  </si>
  <si>
    <t>Sturges, WT (corresponding author), Univ E Anglia, Sch Environm Sci, Norwich NR4 7TJ, Norfolk, England.</t>
  </si>
  <si>
    <t>w.sturges@uea.ac.uk</t>
  </si>
  <si>
    <t>Chappellaz, Jérôme A./A-4872-2011; Atlas, Elliot/J-8171-2015; Atlas, Elliot/AAE-4605-2021</t>
  </si>
  <si>
    <t>Atlas, Elliot/0000-0003-3847-5346</t>
  </si>
  <si>
    <t>1944-8007</t>
  </si>
  <si>
    <t>NOV 1</t>
  </si>
  <si>
    <t>10.1029/2001GL013958</t>
  </si>
  <si>
    <t>485TM</t>
  </si>
  <si>
    <t>WOS:000171780000022</t>
  </si>
  <si>
    <t>Lachlan-Cope, TA; Connolley, WM; Turner, J</t>
  </si>
  <si>
    <t>The role of the non-axisymmetric Antarctic orography in forcing the observed pattern of variability of the Antarctic climate</t>
  </si>
  <si>
    <t>QUASI-STATIONARY WAVES; SOUTHERN-HEMISPHERE</t>
  </si>
  <si>
    <t>The pattern of inter-annual variability in the atmospheric circulation around Antarctica has a maximum over the Amundsen-Bellinghausen Sea (ABS), which is particularly strong during the winter (June, July and August). By using an atmosphere-only general circulation model the causes of this maximum have been investigated. In particular we study the effect of the non-axisymmetric nature of the local surface forcing (sea surface temperatures, sea ice and orography) by imposing axi-symmetric forcing fields at high southern latitudes. The results of these experiments show that the nonaxisymmetric nature of the Antarctic orography is sufficient to explain the variability maximum in the ABS.</t>
  </si>
  <si>
    <t>British Antarctic Survey, Cambridge CB3 0ET, England</t>
  </si>
  <si>
    <t>British Antarctic Survey, Cambridge CB3 0ET, England.</t>
  </si>
  <si>
    <t>10.1029/2001GL013465</t>
  </si>
  <si>
    <t>WOS:000171780000026</t>
  </si>
  <si>
    <t>Saenko, OA; Weaver, AJ</t>
  </si>
  <si>
    <t>Importance of wind-driven sea ice motion for the formation of Antarctic Intermediate Water in a global climate model</t>
  </si>
  <si>
    <t>CIRCULATION MODELS; BOTTOM WATER; OCEAN MODEL; WEDDELL SEA</t>
  </si>
  <si>
    <t>An ocean-atmosphere-sea ice model is used to show the importance of wind-driven sea ice motion in the formation of Antarctic Intermediate Water (AAIW). The model is able to reasonably simulate a tongue of low salinity AAIW even when the direct momentum transfer from wind to the ocean is neglected, provided that the wind stress is applied to sea ice. In contrast, when the wind stress exclusively drives the ocean, the model fails to capture the properties of AAIW. The growth and subsequent offshore transport of sea ice acts as a freshwater conduit from nearshore regions, where AABW is formed, to subpolar regions, where AAIW is formed. Sea ice dynamics are also shown to be important in the simulation of a local salinity minimum at intermediate depths in the southern Indian Ocean and a local salinity maximum in the western Weddell Sea.</t>
  </si>
  <si>
    <t>Univ Victoria, Sch Earth &amp; Ocean Sci, Victoria, BC V8W 3P6, Canada</t>
  </si>
  <si>
    <t>University of Victoria</t>
  </si>
  <si>
    <t>Univ Victoria, Sch Earth &amp; Ocean Sci, POB 3055, Victoria, BC V8W 3P6, Canada.</t>
  </si>
  <si>
    <t>oleg@ocean.seos.uvic.ca</t>
  </si>
  <si>
    <t>Weaver, Andrew J/E-7590-2011</t>
  </si>
  <si>
    <t>Weaver, Andrew J/0000-0001-8919-3598</t>
  </si>
  <si>
    <t>10.1029/2001GL013632</t>
  </si>
  <si>
    <t>WOS:000171780000035</t>
  </si>
  <si>
    <t>Cabrol, NA; Wynn-Williams, DD; Crawford, DA; Grin, EA</t>
  </si>
  <si>
    <t>Recent aqueous environments in Martian impact craters: An astrobiological perspective</t>
  </si>
  <si>
    <t>ICARUS</t>
  </si>
  <si>
    <t>2nd International Conference on Mars Polar Science and Exploration</t>
  </si>
  <si>
    <t>AUG 21-25, 2000</t>
  </si>
  <si>
    <t>REYKJAVIK, ICELAND</t>
  </si>
  <si>
    <t>Mars; surface; exobiology; climate</t>
  </si>
  <si>
    <t>METABOLIC-ACTIVITY; DEEP SUBSURFACE; LIFE; MARS; EVOLUTION; ORIGIN; PERMAFROST; SURFACE; MODEL; MICROORGANISMS</t>
  </si>
  <si>
    <t>dThe discovery of gullies and debris aprons raises the question of the existence of aqueous environments on Mars in recent geological times and its astrobiological implications. Three cases of such environments are surveyed at MOC high resolution in the E-Gorgonum chaos and Newton and Hale craters. The regional setting of these craters suggests that the mechanisms of aquifer destabilization, flow discharge, and gully formation in these three cases result from local geological triggers that can include impact cratering, and tectonic processes, rather than climate or insolation factor. We take as a working hypothesis that microbial life appeared on Mars in ancient geological times, probably in a geothermal environment but potentially evolving via infrared detection systems to give photosynthetic communities under the selective pressure of energetic solar radiation. We hypothesize that some microbial communities could have survived underground in either dormant or active state, or that their biomolecules could be preserved either frozen or desiccated in the subsurface beneath the upper oxidized zone. We assess the known environmental constraints for life and what type of potential habitats are provided in these three craters by aquifer discharges using comparison with terrestrial analogues and their associated microbial communities. These environments include: (1) the release of water on a dry crater floor in E-Gorgonum and the possibility for microorganisms and preserved biomolecules to be flushed out and mixed in with the sediment exposed at the surface; (2) the evidence of a recent lacustrine episode in the Newton crater with analogy to Antarctic Dry Valley lakes; (3) the exposure on the floor of Hale crater of material from a regional subsurface that is likely to have retained traces of one of the oldest martian bodies of water recognized to date (Parker et al. 2000) in the Argyre basin. We show how the water in Argyre (similar to3.8 billion years ago (Gya) was likely to have been alterated by hydrothermal processes and how the subsequent formation of the 150-km Hale crater on the northern ring of Argyre generated hydrothermal pumping. This accounts for the anomalously high location of the springs on the crater crests today with respect to the rest of the regional subsurface distribution. Finally, we envision current impact cratering as a factor for destabilizing aquifers on Mars today, thus creating new environments. We analyze the implications of impacts for two geological types of rock units that could harbor traces of life. As a result, we compare the potential of astrobiological exploration of crater floors, rims, and ejecta on future missions to Mars. (C) 2001 Elsevier Science.</t>
  </si>
  <si>
    <t>SETI Inst, Mountain View, CA 94043 USA; NASA, Ames Res Ctr, Div Space Sci, Moffett Field, CA 94035 USA; British Antarctic Survey, Nat Environm Res Council, Cambridge CB3 0ET, England</t>
  </si>
  <si>
    <t>National Aeronautics &amp; Space Administration (NASA); NASA Ames Research Center; UK Research &amp; Innovation (UKRI); Natural Environment Research Council (NERC); NERC British Antarctic Survey</t>
  </si>
  <si>
    <t>SETI Inst, 2035 Landing Dr, Mountain View, CA 94043 USA.</t>
  </si>
  <si>
    <t>ncabrol@mail.arc.nasa.gov</t>
  </si>
  <si>
    <t>ACADEMIC PRESS INC ELSEVIER SCIENCE</t>
  </si>
  <si>
    <t>SAN DIEGO</t>
  </si>
  <si>
    <t>525 B ST, STE 1900, SAN DIEGO, CA 92101-4495 USA</t>
  </si>
  <si>
    <t>0019-1035</t>
  </si>
  <si>
    <t>1090-2643</t>
  </si>
  <si>
    <t>Icarus</t>
  </si>
  <si>
    <t>10.1006/icar.2001.6661</t>
  </si>
  <si>
    <t>Astronomy &amp; Astrophysics</t>
  </si>
  <si>
    <t>520TB</t>
  </si>
  <si>
    <t>WOS:000173796500006</t>
  </si>
  <si>
    <t>Mahaney, WC; Dohm, JM; Baker, VR; Newsom, HE; Malloch, D; Hancock, RGV; Campbell, I; Sheppard, D; Milner, MW</t>
  </si>
  <si>
    <t>Morphogenesis of antarctic paleosols: Martian analogue</t>
  </si>
  <si>
    <t>Earth; Mars; surface; mineralogy; geochemistry</t>
  </si>
  <si>
    <t>CHEMICAL-COMPOSITION; CHAOTIC OBLIQUITY; ANCIENT OCEANS; MARS; SOIL; COMPONENTS; DUST; ICE; GLACIATION; REACTIVITY</t>
  </si>
  <si>
    <t>Samples of horizons in paleosols from the Quartermain Mountains of the Antarctic Dry Valleys (Aztec and New Mountain areas) were analyzed for their physical characteristics, mineralogy, chemical composition, and microbiology to determine the accumulation and movement of salts and other soluble constituents and the presence/absence of microbial populations. Salt concentrations are of special interest because they are considered to be a function of age, derived over time, in part from nearby oceanic and high-altitude atmospheric sources. The chemical composition of ancient Mioceneage paleosols in these areas is the direct result of the deposition and weathering of airborne-influxed salts and other materials, as well as the weathering of till derived principally from local dolerite and sandstone outcrops. Paleosols nearer the coast have greater contents of Cl, whereas near the inland ice sheet, nitrogen tends to increase on a relative basis. The accumulation and vertical distribution of salts and other soluble chemical elements indicate relative amounts of movement in the profile over long periods of time, in the order of several million years. Four of the six selected subsamples from paleosol horizons in two ancient soil profiles contained nil concentrations of bacteria and fungi. However, two horizons at depths of between 3 and 8 cm, in two profiles, yielded several colonies of the fungi Beauveria bassiana and Penicillium brevicompactum, indicating very minor input of organic carbon. Beauveria bassiana is often reported in association with insects and is used commercially for the biological control of some insect pests. Penicillium species are commonly isolated from Arctic, temperate, and tropical soils and are known to utilize a wide variety of organic carbon and nitrogen compounds. The cold, dry soils of the Antarctic bear a close resemblance to various present and past martian environments where similar weathering could occur and possible microbial populations may exist. (C) 2001 Elsevier Science.</t>
  </si>
  <si>
    <t>York Univ, Atkinson Coll, Geomorphol &amp; Pedol Lab, N York, ON M3J 1P3, Canada; Univ Arizona, Dept Hydrol &amp; Water Resources, Tucson, AZ 85721 USA; Univ New Mexico, Inst Meteorit, Albuquerque, NM 87131 USA; Univ New Mexico, Dept Earth &amp; Planetary Sci, Albuquerque, NM 87131 USA; Univ Toronto, Dept Bot, Toronto, ON, Canada; Royal Mil Coll Canada, Dept Chem &amp; Chem Engn, Kingston, ON K7K 7B4, Canada; Land &amp; Soil Consultancy Serv, Stoke, New Zealand; Geochem Sol, Petone, New Zealand</t>
  </si>
  <si>
    <t>York University - Canada; University of Arizona; University of New Mexico; University of New Mexico; University of Toronto; Royal Military College - Canada</t>
  </si>
  <si>
    <t>York Univ, Atkinson Coll, Geomorphol &amp; Pedol Lab, 4700 Keele St, N York, ON M3J 1P3, Canada.</t>
  </si>
  <si>
    <t>bmahaney@yorku.ca</t>
  </si>
  <si>
    <t>Dohm, James M/A-3831-2014</t>
  </si>
  <si>
    <t>10.1006/icar.2001.6667</t>
  </si>
  <si>
    <t>WOS:000173796500007</t>
  </si>
  <si>
    <t>Higuchi, K</t>
  </si>
  <si>
    <t>Formation of frost layer of water ice on Mars</t>
  </si>
  <si>
    <t>Mars surface; Mars ices; Earth ices</t>
  </si>
  <si>
    <t>Formation of the frost layer on Mars' surface in the pictures taken by the Viking 2 Lander is discussed on the basis of the observation of hoar crystals on the snow surface at the Dome Fuji station in the inland area of the Antarctic Ice Sheet on the Earth. The growth rate of a hoar crystal by condensation of water vapor was estimated from the experimental results on artificial production of ice crystals in a cold box and the equation on whisker growth as 10(-5) cm s(-1) at 210 K at the Viking 2 Lander site. If this estimation can be extended to the Mars North fee Cap region at 180 K, the total mass of hoar crystals formed during 100 Mars days in winter can be estimated to be 0.1-1 mm water cm(-2). Since these values are of the same order as annual evaporation rates calculated by the modeling, it can be concluded that direct condensation of water ice on the surface will contribute to accumulation at the Mars North Ice Cap. (C) 2001 Elsevier Science.</t>
  </si>
  <si>
    <t>Nagoya City Sci Museum, Naka Ku, Nagoya, Aichi 4600008, Japan</t>
  </si>
  <si>
    <t>Nagoya City Science Museum</t>
  </si>
  <si>
    <t>Higuchi, K (corresponding author), Nagoya City Sci Museum, Naka Ku, 17-1 Sakae 2 Chome, Nagoya, Aichi 4600008, Japan.</t>
  </si>
  <si>
    <t>10.1006/icar.2001.6697</t>
  </si>
  <si>
    <t>WOS:000173796500011</t>
  </si>
  <si>
    <t>Behrmann, JH; Kopf, A</t>
  </si>
  <si>
    <t>Balance of tectonically accreted and subducted sediment at the Chile Triple Junction</t>
  </si>
  <si>
    <t>INTERNATIONAL JOURNAL OF EARTH SCIENCES</t>
  </si>
  <si>
    <t>accretion; Chile; forearc; plate tectonics; subduction</t>
  </si>
  <si>
    <t>SPREADING-RIDGE SUBDUCTION; SOUTHERN CHILE; ANDEAN MARGIN; CONTINENTAL-MARGIN; ACCRETIONARY PRISM; CONVERGENT MARGINS; PACIFIC MARGIN; TRENCH; EROSION; PENINSULA</t>
  </si>
  <si>
    <t>An active oceanic spreading ridge is being subducted beneath the South American continent at the Chile Triple Junction. Mass balance estimations to characterize temporal and spatial variations in the frontal accretion, or underplating and subduction of sediments since the Late Miocene, were made using seismic and drill-hole data. At 200 km north of the triple junction, almost 80% of the sediment on the downgoing Nazca plate are subducted. Sediment subduction rate decreases towards the triple junction because of a low in sedimentation rates as the flank of the spreading ridge approaches the trench. At the triple junction, the forearc is almost completely destroyed by spreading ridge collision and subduction erosion. Less than 12% of the available sedimentary input is accreted. South of the triple junction, where the spreading ridge passed 6 Ma ago, a large fraction (&gt; 60%) of the sediment on the incoming Antarctic plate has been scraped off and was frontally accreted to the Chile forearc. Spreading ridge subduction leaves a distinctive geological fingerprint, and has a large impact on the mass balance of the subduction zone. However, the high rates of change in the process may make this fingerprint hard to detect in fossil convergent orogens. In the ridge collision zone the sediment supplied to the trench, and the amount of sediment subducted, show strong and distinctive variations on a 1- to 5-million-year time scale. On a 10-million-year time scale, sediment subduction to the Earth's mantle is reduced by spreading ridge collision, caused by the need of the overriding forearc to regain a low angle of taper by frontal accretion.</t>
  </si>
  <si>
    <t>Univ Freiburg, Inst Geol, D-79104 Freiburg, Germany; Geosci Azur, F-06235 Villefranche Sur Mer, France</t>
  </si>
  <si>
    <t>University of Freiburg</t>
  </si>
  <si>
    <t>Behrmann, JH (corresponding author), Univ Freiburg, Inst Geol, Albertstr 23B, D-79104 Freiburg, Germany.</t>
  </si>
  <si>
    <t>1437-3254</t>
  </si>
  <si>
    <t>INT J EARTH SCI</t>
  </si>
  <si>
    <t>Int. J. Earth Sci.</t>
  </si>
  <si>
    <t>10.1007/s005310000172</t>
  </si>
  <si>
    <t>498GP</t>
  </si>
  <si>
    <t>WOS:000172501700001</t>
  </si>
  <si>
    <t>Ivanova, EP; Nedashkovskaya, OI; Chun, J; Lysenko, AM; Frolova, GM; Svetashev, VI; Vysotskii, MV; Mikhailov, VV; Huq, A; Colwell, RR</t>
  </si>
  <si>
    <t>Arenibacter gen. nov., new genus of the family Flavobacteriaceae and description of a new species, Arenibacter latericius sp nov.</t>
  </si>
  <si>
    <t>INTERNATIONAL JOURNAL OF SYSTEMATIC AND EVOLUTIONARY MICROBIOLOGY</t>
  </si>
  <si>
    <t>Flavobacteriaceae; Arenibacter latericius</t>
  </si>
  <si>
    <t>ANTARCTIC SEA-ICE; COMB. NOV; FLECTOBACILLUS-GLOMERATUS; PSYCHROPHILIC BACTERIA; PHYLOGENETIC ANALYSIS; MARINE-BACTERIA; CYTOPHAGA; RECLASSIFICATION; CLASSIFICATION; EMENDATION</t>
  </si>
  <si>
    <t>Five dark-orange-pigmented, Gram-negative, rod-shaped, non-motile, aerobic bacterial strains were isolated from sandy sediment samples collected in the South China Sea in the Indian ocean, from a holothurian, Apostichopus japonicus, in the Sea of Japan and from a brown alga, Chorda filum, from the Sea of Okhotsk in the Pacific Ocean. Phenotypic data were collected, demonstrating that the bacteria are chemo-organotrophic and require seawater-based media for growth. Polar lipids were analysed and 27% of the total extract comprised phosphatidylethanolamine as the major component. The predominant cellular fatty acids were branched-chain saturated and unsaturated [i-C15:0, i-C15:1, a-C15:0, C15:0, C16:1(n-7)]. The DNA base composition was 37.5-38.2 mol % G+C. The level of DNA homology of the five isolates was 83-94%, indicating that these isolates belong to the same species. A 16S rDNA sequence of the type strain KMM 426(T) was determined and phylogenetic analysis, based on neighbour-joining and Fitch-Margoliash methods, revealed that the type strain formed a distinct phyletic line in a clade corresponding to the family Flavobacteriaceae and represented a new genus. From the results of this polyphasic taxonomic analysis, it is proposed that the bacterial strains be classified in a new genus, Arenibacter gen. nov., and species, Arenibacter latericius sp. nov. The type strain is KMM 426(T) (VKM B 2137D(T) = LMG 19694(T) = CIP 106861(T)).</t>
  </si>
  <si>
    <t>Univ Maryland, Inst Biotechnol, Ctr Marine Biotechnol, Baltimore, MD 21202 USA; Russian Acad Sci, Pacific Inst Bioorgan Chem, Far Eastern Branch, Vladivostok 159, Russia; Seoul Natl Univ, Sch Biol Sci, Seoul 151742, South Korea; Russian Acad Sci, Inst Microbiol, Moscow 117811, Russia; Russian Acad Sci, Inst Marine Biol, Far Eastern Branch, Vladivostok 690041, Russia; Univ Maryland, Dept Cell Biol &amp; Mol Genet, College Pk, MD 20742 USA</t>
  </si>
  <si>
    <t>University System of Maryland; University of Maryland Baltimore; Russian Academy of Sciences; Elyakov Pacific Institute of Bioorganic Chemistry; Seoul National University (SNU); Russian Academy of Sciences; Research Center of Biotechnology RAS; Russian Academy of Sciences; National Scientific Center of Marine Biology, Far East Branch of the Russian Academy of Sciences; University System of Maryland; University of Maryland College Park</t>
  </si>
  <si>
    <t>Colwell, RR (corresponding author), Univ Maryland, Inst Biotechnol, Ctr Marine Biotechnol, 701 E Pratt St, Baltimore, MD 21202 USA.</t>
  </si>
  <si>
    <t>Nedashkovskaya, Olga I./M-6792-2013; Chun, Jongsik/R-8458-2017; Svetashev, Vasily/K-3614-2016; Mikhailov, Valery V/M-6780-2013</t>
  </si>
  <si>
    <t>Chun, Jongsik/0000-0003-3385-5171; Nedashkovskaya, Olga/0000-0002-2637-4372</t>
  </si>
  <si>
    <t>SOC GENERAL MICROBIOLOGY</t>
  </si>
  <si>
    <t>READING</t>
  </si>
  <si>
    <t>MARLBOROUGH HOUSE, BASINGSTOKE RD, SPENCERS WOODS, READING RG7 1AE, BERKS, ENGLAND</t>
  </si>
  <si>
    <t>1466-5026</t>
  </si>
  <si>
    <t>INT J SYST EVOL MICR</t>
  </si>
  <si>
    <t>Int. J. Syst. Evol. Microbiol.</t>
  </si>
  <si>
    <t>10.1099/00207713-51-6-1987</t>
  </si>
  <si>
    <t>Microbiology</t>
  </si>
  <si>
    <t>496BG</t>
  </si>
  <si>
    <t>WOS:000172374400007</t>
  </si>
  <si>
    <t>Thomson, NR; Clilverd, MA</t>
  </si>
  <si>
    <t>Solar flare induced ionospheric D-region enhancements from VLF amplitude observations</t>
  </si>
  <si>
    <t>JOURNAL OF ATMOSPHERIC AND SOLAR-TERRESTRIAL PHYSICS</t>
  </si>
  <si>
    <t>solar flare; VLF perturbation; D-region; ionosphere</t>
  </si>
  <si>
    <t>PARAMETERS</t>
  </si>
  <si>
    <t>Enhancements of D-region electron densities caused by solar flares are determined from observations of VLF subionospheric amplitude changes and these enhancements are then related to the magnitudes of the X-ray fluxes measured by the GOES satellites. The electron densities are characterised by the two traditional parameters, H' and P (being measures of the ionospheric height and the rate of increase of electron density with height, respectively), which are found by VLF radio modelling of the observed amplitudes using the NOSC Earth-ionosphere waveguide programs (LWPC and Modefinder) mainly on two paths, one short and one long. The short path measurements were made near Cambridge, UK, on the 18.3 kHz signals from the French transmitter 617 km to the south while the long path measurements were made near Dunedin, NZ, on the 24.8 kHz signals from NLK in Seattle, USA, 12.3 Nlm across the Pacific Ocean. The observations include flares up to a magnitude of about M5 (5 x 10(-5) W m(-2) at 0.1-0.8 nm) which gave VLF amplitude enhancements up to about 8 dB; these corresponded, under near solar maximum conditions (1992), to a reduction in H' from about 71 km down to about 63 km and an increase in beta from 0.43 km(-1) up to about 0.49 km(-1). The increased values of P during a flare are caused by the solar X-rays dominating all sources of ionisation during the flare in contrast with the normal unperturbed daytime values of P which are significantly lower than for a single solar UV or X-ray source due to the extra electrons from the normal galactic cosmic ray ionisation in the lowest parts of the D-region. This steady, normal (unperturbed) cosmic ray influence on fl, and hence unperturbed VLF attenuation, is more marked at times of reduced solar Lyman-alpha flux in the D-region such as at solar minimum, high latitudes or early or late in the day, thus explaining the normal (unperturbed) higher VLF attenuation rates previously reported in these conditions. (C) 2001 Elsevier Science Ltd. All rights reserved.</t>
  </si>
  <si>
    <t>Univ Otago, Dept Phys, Dunedin, New Zealand; British Antarctic Survey, Cambridge CB3 0ET, England</t>
  </si>
  <si>
    <t>University of Otago; UK Research &amp; Innovation (UKRI); Natural Environment Research Council (NERC); NERC British Antarctic Survey</t>
  </si>
  <si>
    <t>Thomson, NR (corresponding author), Univ Otago, Dept Phys, POB 56, Dunedin, New Zealand.</t>
  </si>
  <si>
    <t>1364-6826</t>
  </si>
  <si>
    <t>J ATMOS SOL-TERR PHY</t>
  </si>
  <si>
    <t>J. Atmos. Sol.-Terr. Phys.</t>
  </si>
  <si>
    <t>10.1016/S1364-6826(01)00048-7</t>
  </si>
  <si>
    <t>Geochemistry &amp; Geophysics; Meteorology &amp; Atmospheric Sciences</t>
  </si>
  <si>
    <t>484BG</t>
  </si>
  <si>
    <t>WOS:000171669900005</t>
  </si>
  <si>
    <t>Maffia, M; Rizzello, A; Acierno, R; Rollo, M; Chiloiro, R; Storelli, C</t>
  </si>
  <si>
    <t>Carbonic anhydrase activity in tissues of the icefish Chionodraco hamatus and of the red-blooded teleosts Trematomus bernacchii and Anguilla anguilla</t>
  </si>
  <si>
    <t>JOURNAL OF EXPERIMENTAL BIOLOGY</t>
  </si>
  <si>
    <t>Nothotheniodei; Chaenichthyidae; Antarctic teleost; haemoglobinless; pH homeostasis; carbonic anhydrase; blood; gills; Chionodraco hamatus; Trematomus bernacchii; Anguilla anguilla</t>
  </si>
  <si>
    <t>ANTARCTIC FISH; GILLS; PURIFICATION; LOCALIZATION; PROTEINS; EXCHANGE; TROUT</t>
  </si>
  <si>
    <t>Carbonic anhydrase (CA) activity was measured in blood, intestine, kidney and gill of two Antarctic teleosts, the haemoglobinless Chionodraco hamatus and the red-blooded Trematomus bernacchii, and of the temperate teleost Anguilla anguilla. In all species, the highest CA activity was in the gills, with the greatest activity in C. hamatus. CA activity in the blood was highest in A. anguilla, but none was detected in the blood of C. hamatus despite the presence of plasma CA inhibitors. The enzyme was present but its activity was low in the intestine and kidney of all three species. The existence of very high CA activity in C. hamatus gills compared with the red-blooded species was investigated further by isolating and characterising the branchial cytosolic CA isoforms. The turnover rate of the C. hamatus isoform was significantly higher than that of T. bernacchii and A. anguilla. The isoforms from both the Antarctic species exhibited lower apparent K-m (K-m,K-app) and heat stability than those from A. anguilla. Sensitivity to sulphonamides was similar in all species and was within the range of the mammalian CA II isoform. The branchial CA isoforms of C. hamatus, T. bernacchii and A. anguilla displayed relative molecular masses of 28.9, 29.9 and 31.2 kDa, respectively. The results suggest that the hemoglobinless teleost possesses a different branchial cytosolic CA isoform from that of red-blooded teleosts.</t>
  </si>
  <si>
    <t>Univ Lecce, Dept Biol, Lab Gen Physiol, I-73100 Lecce, Italy</t>
  </si>
  <si>
    <t>University of Salento</t>
  </si>
  <si>
    <t>Maffia, M (corresponding author), Univ Lecce, Dept Biol, Lab Gen Physiol, Via Prov Monteroni, I-73100 Lecce, Italy.</t>
  </si>
  <si>
    <t>MAFFIA, MICHELE/AAC-2943-2020</t>
  </si>
  <si>
    <t>COMPANY OF BIOLOGISTS LTD</t>
  </si>
  <si>
    <t>CAMBRIDGE</t>
  </si>
  <si>
    <t>BIDDER BUILDING CAMBRIDGE COMMERCIAL PARK COWLEY RD, CAMBRIDGE CB4 4DL, CAMBS, ENGLAND</t>
  </si>
  <si>
    <t>0022-0949</t>
  </si>
  <si>
    <t>J EXP BIOL</t>
  </si>
  <si>
    <t>J. Exp. Biol.</t>
  </si>
  <si>
    <t>Biology</t>
  </si>
  <si>
    <t>Life Sciences &amp; Biomedicine - Other Topics</t>
  </si>
  <si>
    <t>500UH</t>
  </si>
  <si>
    <t>WOS:000172644800017</t>
  </si>
  <si>
    <t>Pilling, GM; Purves, MG; Daw, TM; Agnew, DA; Xavier, JC</t>
  </si>
  <si>
    <t>The stomach contents of Patagonian toothfish around South Georgia (South Atlantic)</t>
  </si>
  <si>
    <t>JOURNAL OF FISH BIOLOGY</t>
  </si>
  <si>
    <t>toothfish; Dissostichus eleginoides; South Georgia; stomach contents</t>
  </si>
  <si>
    <t>CEPHALOPOD PREY; DIET; FISHERIES</t>
  </si>
  <si>
    <t>The proportion of Patagonian toothfish Dissostichus eleginoides, caught around South Georgia in the south-west Atlantic, with empty stomachs was much lower in fish caught in pots compared to longlines (28 and 91%, respectively, of examined individuals). It is hypothesized that pots caused reduced levels of stress on capture. Stomach content data examined from pot-caught fish will probably therefore be more comprehensive than that from fish caught using longlines. A wide range of prey items was identified in the stomachs of D. eleginoides and stomach contents of individuals caught using the two fishing methods were significantly different. The most common prey item for D. eleginoides caught using pots was thc decapod prawn Nauticaris sp., which was restricted in location and depth. However. prawns were not common in the stomachs of D. eleginoides caught from the same location using longlines. Stomach contents from the two fishing methods remained significantly different when Nauticaris sp. were eliminated from the assessment. although fishes then dominated the diet of D. eleginoides caught using either fishing gear. The study confirms that D. eleginoides is an opportunistic carnivore. and indicates that feeding habits depend on the local availability of food items, as well as factors such as depth and predator size. The potential ecological impacts of fishing for D. eleginoides on the South Atlantic ecosystem are discussed. (C) 2001 The Fisheries Society of the British Isles.</t>
  </si>
  <si>
    <t>MRAG Ltd, London SW7 2QA, England; Univ London Imperial Coll Sci Technol &amp; Med, Huxley Sch Earth Sci &amp; Engn, Renewable Resources Assessment Grp, London SW7 2BP, England; British Antarctic Survey, Cambridge CB3 0ET, England</t>
  </si>
  <si>
    <t>Imperial College London; UK Research &amp; Innovation (UKRI); Natural Environment Research Council (NERC); NERC British Antarctic Survey</t>
  </si>
  <si>
    <t>CEFAS, Fisheries Lab, Pakefield Rd, Lowestoft NR33 0HT, Suffolk, England.</t>
  </si>
  <si>
    <t>g.m.pilling@cefas.co.uk</t>
  </si>
  <si>
    <t>Xavier, José/KFB-6739-2024</t>
  </si>
  <si>
    <t>Daw, Tim M./0000-0001-6635-9153; /0000-0002-9621-6660</t>
  </si>
  <si>
    <t>WILEY</t>
  </si>
  <si>
    <t>HOBOKEN</t>
  </si>
  <si>
    <t>111 RIVER ST, HOBOKEN 07030-5774, NJ USA</t>
  </si>
  <si>
    <t>0022-1112</t>
  </si>
  <si>
    <t>1095-8649</t>
  </si>
  <si>
    <t>J FISH BIOL</t>
  </si>
  <si>
    <t>J. Fish Biol.</t>
  </si>
  <si>
    <t>10.1006/jfbi.2001.1748</t>
  </si>
  <si>
    <t>Fisheries; Marine &amp; Freshwater Biology</t>
  </si>
  <si>
    <t>501ZQ</t>
  </si>
  <si>
    <t>WOS:000172718200020</t>
  </si>
  <si>
    <t>Staniland, IJ; Hart, PJB; Bromley, PJ</t>
  </si>
  <si>
    <t>The regurgitation of stomach contents in trawl caught whiting, evidence of a predator size effect</t>
  </si>
  <si>
    <t>Merlangius merlangus; whiting; regurgitation; size effects</t>
  </si>
  <si>
    <t>The rate of regurgitation of food from the stomachs of trawl caught whiting Merlangius merlangus was negatively correlated with fish size. Increased musculature of the oesophageal sphincter in larger fish may enable them to resist the forced expulsion of their stomach contents to a greater extent. (C) 2001 The Fisheries Society of the British Isles.</t>
  </si>
  <si>
    <t>British Antarctic Survey, NERC, Cambridge CB3 0ET, England; Univ Leicester, Dept Zool, Leicester LE1 7RH, Leics, England; CEFAS, Lowestoft Lab, Lowestoft NR33 0HT, Suffolk, England</t>
  </si>
  <si>
    <t>UK Research &amp; Innovation (UKRI); Natural Environment Research Council (NERC); NERC British Antarctic Survey; University of Leicester; Centre for Environment Fisheries &amp; Aquaculture Science</t>
  </si>
  <si>
    <t>Staniland, IJ (corresponding author), British Antarctic Survey, NERC, Madingley Rd, Cambridge CB3 0ET, England.</t>
  </si>
  <si>
    <t>Hart, Paul JB/A-1814-2008; Staniland, Iain/I-4725-2012</t>
  </si>
  <si>
    <t>Hart, Paul JB/0000-0002-9188-2437; Staniland, Iain/0000-0003-2736-9134</t>
  </si>
  <si>
    <t>ACADEMIC PRESS LTD</t>
  </si>
  <si>
    <t>24-28 OVAL RD, LONDON NW1 7DX, ENGLAND</t>
  </si>
  <si>
    <t>WOS:000172718200029</t>
  </si>
  <si>
    <t>Vorobjev, VG; Yagodkina, OI; Sibeck, D; Liou, K; Meng, CI</t>
  </si>
  <si>
    <t>Aurora conjugacy during substorms: Coordinated antarctic ground and polar ultraviolet observations</t>
  </si>
  <si>
    <t>JOURNAL OF GEOPHYSICAL RESEARCH-SPACE PHYSICS</t>
  </si>
  <si>
    <t>INTERPLANETARY MAGNETIC-FIELD; Y-COMPONENT; IMF; MAGNETOSPHERE; CONFIGURATION; ASYMMETRY</t>
  </si>
  <si>
    <t>Simultaneous optical observations at the Antarctic station Mimy (phi' = -77.4(0) Corrected geomagnetic latitude (CGL)) and Ultraviolet Imager images of the northern auroral oval from the POLAR satellite were used to determine the displacement of nightside aurorae in the Nor-them Hemisphere relative to those in the Southern Hemisphere during 10 (1.5 to 3 hour long) time intervals including auroral substorms. Displacements of the poleward edge of the auroral bulge can be significant, up to 5(0) in CGL. The sense and magnitude of displacements are not related to the dipole tilt angle or differing ionospheric conductivity in the two hemispheres but rather to interplanetary magnetic field (IMF) orientations in the ecliptic plane. Aurorae reach higher latitudes in the Northern Hemisphere when Bx &lt;0 and By &gt;0 but occur at higher latitudes in the Southern Hemisphere when Bx &gt;0 and By &lt;0. Perturbations in conjugate ground magnetometers display a similar asymmetry. By contrast, displacements of the aurora are small when the IMF strength is weak, the IMF orientation fluctuates, or the IMF has an orthospiral orientation. Even when the latitudes are similar, local bright auroral forms and transient intensifications often occur in only one hemisphere, Our results testify to the effective penetration of the equatorial component of the IMF into the magnetosphere.</t>
  </si>
  <si>
    <t>Polar Geophys Inst, Apatity 184200, Murmansk Region, Russia; Johns Hopkins Univ, Appl Phys Lab, Laurel, MD 20723 USA</t>
  </si>
  <si>
    <t>Russian Academy of Sciences; Polar Geophysical Institute; Johns Hopkins University; Johns Hopkins University Applied Physics Laboratory</t>
  </si>
  <si>
    <t>Polar Geophys Inst, 14 Fersman St, Apatity 184200, Murmansk Region, Russia.</t>
  </si>
  <si>
    <t>vorobjev@pgi.kolasc.net.ru</t>
  </si>
  <si>
    <t>Sibeck, David G/D-4424-2012; Vorobjev, Vyacheslav/A-5957-2017; Liou, Kan/C-2089-2016; Yagodkina, Oksana/A-5689-2017</t>
  </si>
  <si>
    <t>Vorobjev, Vyacheslav/0000-0001-5377-2977; Liou, Kan/0000-0001-5277-7688; Yagodkina, Oksana/0000-0002-3773-3051</t>
  </si>
  <si>
    <t>2169-9380</t>
  </si>
  <si>
    <t>2169-9402</t>
  </si>
  <si>
    <t>J GEOPHYS RES-SPACE</t>
  </si>
  <si>
    <t>J. Geophys. Res-Space Phys.</t>
  </si>
  <si>
    <t>A11</t>
  </si>
  <si>
    <t>10.1029/2001JA900025</t>
  </si>
  <si>
    <t>490JT</t>
  </si>
  <si>
    <t>WOS:000172049300008</t>
  </si>
  <si>
    <t>Moore, JK</t>
  </si>
  <si>
    <t>Maritime rivalry, political intervention and the race to Antarctica: US-Chilean relations, 1939-1949</t>
  </si>
  <si>
    <t>JOURNAL OF LATIN AMERICAN STUDIES</t>
  </si>
  <si>
    <t>Throughout the nineteenth century, the United States and Chile competed for dominance in the Pacific, and their maritime rivalry reemerged in the race to Antarctica during the 1940s. The US Navy was able to circumnavigate the white continent, for the first time ever, while Chile's once great navy no longer posed a threat even to its neighbours. The Chilean government expressed concern about the scope of US exploration since the Antarctic always had been an essential component of its maritime policy with national security ramifications. President Gabriel Gonzalez Videla seized upon Washington's unsuccessful attempts to determine the legal fate of the Antarctic to gain acceptance for a Chilean proposal that avoided the need to renounce: sovereignty claims. In doing so, he secured essentially maritime objectives by diplomatic means. This success was more profound than widely appreciated since it came at a time when US intervention in Chile's domestic affairs had reached an unprecedented level.</t>
  </si>
  <si>
    <t>CAMBRIDGE UNIV PRESS</t>
  </si>
  <si>
    <t>40 WEST 20TH ST, NEW YORK, NY 10011-4221 USA</t>
  </si>
  <si>
    <t>0022-216X</t>
  </si>
  <si>
    <t>J LAT AM STUD</t>
  </si>
  <si>
    <t>J. Lat. Am. Stud.</t>
  </si>
  <si>
    <t>Area Studies; Humanities, Multidisciplinary</t>
  </si>
  <si>
    <t>Social Science Citation Index (SSCI); Arts &amp; Humanities Citation Index (A&amp;HCI)</t>
  </si>
  <si>
    <t>Area Studies; Arts &amp; Humanities - Other Topics</t>
  </si>
  <si>
    <t>509JW</t>
  </si>
  <si>
    <t>WOS:000173145500002</t>
  </si>
  <si>
    <t>Darias, J; Rovirosa, J; San Martin, A; Díaz, AR; Dorta, E; Cueto, M</t>
  </si>
  <si>
    <t>Furoplocamioids A-C, novel polyhalogenated furanoid monoterpenes from Plocamium cartilagineum</t>
  </si>
  <si>
    <t>JOURNAL OF NATURAL PRODUCTS</t>
  </si>
  <si>
    <t>MARINE RED ALGA; PANTONEURA-PLOCAMIOIDES; APLYSIA-KURODAI; TETRAHYDROPYRAN</t>
  </si>
  <si>
    <t>Three new tetrahydrofuran derivatives, marine monoterpenes, with an unusual chlorobromo vinyl functional group, have been isolated from the red alga Plocamium cartilagineum. The structure and relative stereochemistry of these compounds were determined on the basis of spectroscopic evidence and molecular mechanics (MM2) calculations. These compounds are related to pantofuranoids isolated from the antarctic Pantoneura plocamioides, which strongly suggests a close relationship between these species.</t>
  </si>
  <si>
    <t>CSIC, Inst Prod Nat &amp; Agrobiol, Tenerife 38506, Spain; Univ Chile, Fac Ciencias, Dept Quim, Santiago, Chile</t>
  </si>
  <si>
    <t>Consejo Superior de Investigaciones Cientificas (CSIC); CSIC - Instituto de Productos Naturales y Agrobiologia (IPNA); Universidad de Chile</t>
  </si>
  <si>
    <t>Darias, J (corresponding author), CSIC, Inst Prod Nat &amp; Agrobiol, Avenida Astrofis F Sanchez 3,Apartado 195, Tenerife 38506, Spain.</t>
  </si>
  <si>
    <t>jdarias@ipna.csic.es</t>
  </si>
  <si>
    <t>Marrero, Ana R. Díaz/L-2899-2014; Darias, Jose/HMV-0531-2023; Cueto, Mercedes/L-3185-2014</t>
  </si>
  <si>
    <t>Marrero, Ana R. Díaz/0000-0002-8886-7519; Cueto, Mercedes/0000-0002-9112-6877</t>
  </si>
  <si>
    <t>0163-3864</t>
  </si>
  <si>
    <t>J NAT PROD</t>
  </si>
  <si>
    <t>J. Nat. Prod.</t>
  </si>
  <si>
    <t>10.1021/np010297u</t>
  </si>
  <si>
    <t>Plant Sciences; Chemistry, Medicinal; Pharmacology &amp; Pharmacy</t>
  </si>
  <si>
    <t>Science Citation Index Expanded (SCI-EXPANDED); Index Chemicus (IC)</t>
  </si>
  <si>
    <t>Plant Sciences; Pharmacology &amp; Pharmacy</t>
  </si>
  <si>
    <t>498EE</t>
  </si>
  <si>
    <t>WOS:000172496200001</t>
  </si>
  <si>
    <t>Han, T; Sinha, RP; Häder, DP</t>
  </si>
  <si>
    <t>UV-A/blue light-induced reactivation of photosynthesis in UV-B irradiated cyanobacterium, Anabaena sp.</t>
  </si>
  <si>
    <t>JOURNAL OF PLANT PHYSIOLOGY</t>
  </si>
  <si>
    <t>Anabaena; cryptochrome; fluorescence; photoreactivation; UV-A (315-400 nm)/blue light; UV-B (280-315 nm)</t>
  </si>
  <si>
    <t>II REACTION-CENTER; RICE FIELD CYANOBACTERIA; PHOTOSYSTEM-II; ULTRAVIOLET-RADIATION; BLUE-LIGHT; CHLOROPHYLL FLUORESCENCE; ANTARCTIC CYANOBACTERIA; ANACYSTIS-NIDULANS; YOUNG SPOROPHYTES; EXCISION-REPAIR</t>
  </si>
  <si>
    <t>After exposure to moderate levels of UV-B irradiation, subsequent exposure to white light caused recovery of chlorophyll fluorescence yield of Anabaena sp. This photoreactivation of UV-induced inhibition of photosynthesis increased in proportion to the irradiance of white light and is wavelength-dependent, showing significant recovery in blue light compared to no measurable recovery at other photosynthetically active wavebands. The UV-A/blue quantum dose required for a 50% photoreactivation was 1.12 mol m(-2), which is comparable to that for other high quantum requiring responses found in plants and microorganisms. Additionally, a similar long-term interdependence is reflected in the observation that the effect of UV-A/blue light depends on the total quantum exposure for up to 96 h, confirming the likely involvement of a blue light receptor, cryptochrome, in this process. The action spectrum for photoreactivation of photosynthesis in UV-B-irradiated Anabaena so. shows major peaks at 352.5 and 383 nm, with a small but significant peak at 411 nm.</t>
  </si>
  <si>
    <t>Univ Erlangen Nurnberg, Inst Bot &amp; Pharmazeut Biol, D-91058 Erlangen, Germany; Univ Inchon, Dept Biol, Inchon 402749, South Korea</t>
  </si>
  <si>
    <t>University of Erlangen Nuremberg; Incheon National University</t>
  </si>
  <si>
    <t>Häder, DP (corresponding author), Univ Erlangen Nurnberg, Inst Bot &amp; Pharmazeut Biol, Staudtstr 5, D-91058 Erlangen, Germany.</t>
  </si>
  <si>
    <t>Sinha, Rajeshwar/CAC-2606-2022</t>
  </si>
  <si>
    <t>Sinha, Rajeshwar/0000-0002-0112-6161</t>
  </si>
  <si>
    <t>0176-1617</t>
  </si>
  <si>
    <t>J PLANT PHYSIOL</t>
  </si>
  <si>
    <t>J. Plant Physiol.</t>
  </si>
  <si>
    <t>10.1078/0176-1617-00549</t>
  </si>
  <si>
    <t>497EM</t>
  </si>
  <si>
    <t>WOS:000172442500006</t>
  </si>
  <si>
    <t>Gorska, N; Chu, D</t>
  </si>
  <si>
    <t>Some aspects of sound extinction by zooplankton</t>
  </si>
  <si>
    <t>JOURNAL OF THE ACOUSTICAL SOCIETY OF AMERICA</t>
  </si>
  <si>
    <t>KRILL EUPHAUSIA-SUPERBA; ANTARCTIC KRILL; ACOUSTIC SCATTERING; CROSS-SECTION; ATTENUATION; CYLINDERS; ABUNDANCE; BODIES; LENGTH; SPEED</t>
  </si>
  <si>
    <t>To address the importance of sound extinction (or the shadowing effect) in the presence of a densely aggregated zooplankton layer, acoustic scattering by weakly scattering fluid objects is studied theoretically. An analytical expression for the extinction cross section is obtained based on the forward scattering theorem and the analytical formula for the forward scattering amplitude is derived from the Modal Based-Deformed Cylinder Model (MB-DCM). The validity of the MB-DCM solution for the forward scattering amplitude and its sensitivity to geometrical and physical parameters is studied. Comparison with the PC-DV;BA (Phase-Compensated-Distorted Wave Born Approximation) shows a reasonable agreement between the two models. The extinction cross section is shown to be proportional to (ka)(2) and the induced attenuation is predicted for various species of zooplankton over a wide frequency range. It is shown that, under certain realistic conditions, such as the presence of a swarm of aggregated krill, sound extinction by zooplankton could influence the acoustic measurements significantly, as much as an 85% reduction in acoustic intensity for Euphausia superba with n = 5000 ind./m(3) over a range of 50 m. (C) 2001 Acoustical Society of America.</t>
  </si>
  <si>
    <t>Polish Acad Sci, Inst Oceanol, PL-81712 Sopot, Poland; Woods Hole Oceanog Inst, Woods Hole, MA 02543 USA</t>
  </si>
  <si>
    <t>Polish Academy of Sciences; Institute of Oceanology of the Polish Academy of Sciences; Woods Hole Oceanographic Institution</t>
  </si>
  <si>
    <t>Polish Acad Sci, Inst Oceanol, Powstancow Warszawy 55, PL-81712 Sopot, Poland.</t>
  </si>
  <si>
    <t>gorska@iopan.gda.pl; dchu@whoi.edu</t>
  </si>
  <si>
    <t>Chu, Dezhang/L-7004-2015</t>
  </si>
  <si>
    <t>Gorska, Natalia/0000-0002-4581-1654</t>
  </si>
  <si>
    <t>ACOUSTICAL SOC AMER AMER INST PHYSICS</t>
  </si>
  <si>
    <t>MELVILLE</t>
  </si>
  <si>
    <t>STE 1 NO 1, 2 HUNTINGTON QUADRANGLE, MELVILLE, NY 11747-4502 USA</t>
  </si>
  <si>
    <t>0001-4966</t>
  </si>
  <si>
    <t>1520-8524</t>
  </si>
  <si>
    <t>J ACOUST SOC AM</t>
  </si>
  <si>
    <t>J. Acoust. Soc. Am.</t>
  </si>
  <si>
    <t>10.1121/1.1400738</t>
  </si>
  <si>
    <t>Acoustics; Audiology &amp; Speech-Language Pathology</t>
  </si>
  <si>
    <t>492GN</t>
  </si>
  <si>
    <t>WOS:000172160200009</t>
  </si>
  <si>
    <t>Retallack, GJ; Krull, ES; Bockheim, JG</t>
  </si>
  <si>
    <t>New grounds for reassessing palaeoclimate of the Sirius Group, Antarctica</t>
  </si>
  <si>
    <t>JOURNAL OF THE GEOLOGICAL SOCIETY</t>
  </si>
  <si>
    <t>Pliocene; Antarctica; Sirius Group; palaeosols; palaeoclimates</t>
  </si>
  <si>
    <t>TRANSANTARCTIC-MOUNTAINS; BEARDMORE GLACIER; LATE PLIOCENE; DRY-VALLEYS; ICE-SHEET; NOTHOFAGUS; NEOGENE; CLIMATE; MARINE; DEGLACIATION</t>
  </si>
  <si>
    <t>Fossil Nothofagus leaves from the Meyer Desert Formation of the Sirius Group in the central Transantarctic Mountains have been found with recycled marine diatoms indicating that they are no older than 4.1-3.1 Ma: they have been interpreted as evidence for Pliocene warming and diminution of the East Antarctic Ice Cap. In contrast, Plio-Pleistocene ice-cap stability and sustained polar palaeoclimate has been argued from landforms in Victoria Land and isotopic data from the Southern Ocean. New evidence on this question comes from fossil soils in the Meyer Desert Formation. One of these, the Siesta palaeosol, has a gypsic horizon at a depth of 85 cm as in soils of polar deserts with a mean annual precipitation (MAP) of 120-220 ram. Clastic dykes from a 60-80 cm thick permafrost active layer in the palaeosols are evidence of a mean annual temperature (MAT) of -3 to -11 degreesC. This is warmer and wetter than the Dominion Range today (MAP 36 turn, MAT -39 degreesC) but still a periglacial climate, cooler and drier than southern Chilean moorland and krummholz (MAP 600-7500 mm, MAT 5-8 degreesC), or subantarctic tundra (MAP 400-2500 mm, MAT -5 to +5 degreesC). A Pliocene age for the Nothofagus fossils and Siesta palaeosol is compatible with soil development on surfaces that bracket their enclosing deposits. The Dominion Range was significantly warmer and wetter than it is today during Pliocene (c. 3.5 Ma) growth of Nothofagus and formation of the Siesta palaeosol. but the Beardmore Glacier was still large at that time. Surface soils and palaeosols of the Meyer Desert Formation are evidence of another warmer and wetter episode earlier during the Pliocene (c. 5 Ma). Both warm intervals were separated by intervening times of glacial expansion and frigid palaeoclimate.</t>
  </si>
  <si>
    <t>Univ Oregon, Dept Geol Sci, Eugene, OR 97403 USA; CSIRO Land &amp; Water, Adelaide Labs, Glen Osmond, SA 5064, Australia; Univ Wisconsin, Dept Soil Sci, Madison, WI 53706 USA</t>
  </si>
  <si>
    <t>University of Oregon; Commonwealth Scientific &amp; Industrial Research Organisation (CSIRO); University of Wisconsin System; University of Wisconsin Madison</t>
  </si>
  <si>
    <t>Univ Oregon, Dept Geol Sci, Eugene, OR 97403 USA.</t>
  </si>
  <si>
    <t>gregr@darkwing.uoregon.edu</t>
  </si>
  <si>
    <t>GEOLOGICAL SOC PUBL HOUSE</t>
  </si>
  <si>
    <t>BATH</t>
  </si>
  <si>
    <t>UNIT 7, BRASSMILL ENTERPRISE CENTRE, BRASSMILL LANE, BATH BA1 3JN, AVON, ENGLAND</t>
  </si>
  <si>
    <t>0016-7649</t>
  </si>
  <si>
    <t>2041-479X</t>
  </si>
  <si>
    <t>J GEOL SOC LONDON</t>
  </si>
  <si>
    <t>J. Geol. Soc.</t>
  </si>
  <si>
    <t>10.1144/0016-764901-030</t>
  </si>
  <si>
    <t>498DG</t>
  </si>
  <si>
    <t>WOS:000172494100005</t>
  </si>
  <si>
    <t>Zeh, A; Brätz, H; Millar, IL; Williams, IS</t>
  </si>
  <si>
    <t>A combined zircon SHRIMP and Sm-Nd isotope study of high-grade paragneisses from the Mid-German Crystalline Rise:: evidence for northern Gondwanan and Grenvillian provenance</t>
  </si>
  <si>
    <t>SHRIMP data; Sm-Nd; Mid-German Crystalline Rise; Gondwana; provenance</t>
  </si>
  <si>
    <t>EUROPEAN CONTINENTAL-CRUST; PRECAMBRIAN IGNEOUS ROCKS; U-PB; SILVRETTA NAPPE; PRE-VARISCAN; PALEOZOIC EVOLUTION; SINGLE-ZIRCON; MAGMATISM; GEOCHRONOLOGY; AGES</t>
  </si>
  <si>
    <t>SHRIMP analyses of detrital zircon cores front high-grade metasediments from the Mid-German Crystalline Rise,,which is situated between Eastern Avalonia in the NW and Saxo-Thuringia in the SE. yield mostly ages of c. 550 Ma and c. 2.06 Ga, with minor c. 1.0 and 2.4-2.9 Ga components. The sedimentary protoliths were deposited during the Late Proterozoic to Early Cambrian, probably prior to the break up of the northern Gondwana margin at 460-500 Ma. These data are consistent with the sediments' high epsilon Nd values (0.9 to -3.0), which are comparable to those of well-documented Late Proterozoic sediments from other parts of Europe, The combined isotopic data suggest derivation of the sediments front at least three distinct crustal source regions. Dominant sources were the Avalonian-Cadomian orogenic belt (c. 45%), situated at the northern margin of Gondwana during the Neoproterozoic, and the West African and/or eastern Amazonian cratons (c. 45%). The Grenvillian belt was a minor source (c. 10%).</t>
  </si>
  <si>
    <t>Inst Mineral, D-97074 Wurzburg, Germany; British Antarctic Survey, NERC, Isotope Geosci Lab, Keyworth NG12 5GG, Notts, England; Australian Natl Univ, Res Sch Earth Sci, Canberra, ACT 0200, Australia</t>
  </si>
  <si>
    <t>University of Wurzburg; UK Research &amp; Innovation (UKRI); Natural Environment Research Council (NERC); NERC British Antarctic Survey; NERC British Geological Survey; Australian National University</t>
  </si>
  <si>
    <t>Inst Mineral, Hubland, D-97074 Wurzburg, Germany.</t>
  </si>
  <si>
    <t>Williams, Ian S/F-4302-2012; SHRIMP, ANU/F-5312-2011; Zeh, Armin/AAS-7028-2020; Millar, Ian L/F-1541-2010</t>
  </si>
  <si>
    <t>Williams, Ian/0000-0003-4465-6493; Zeh, Armin/0000-0001-5599-7897</t>
  </si>
  <si>
    <t>10.1144/0016-764900-186</t>
  </si>
  <si>
    <t>WOS:000172494100009</t>
  </si>
  <si>
    <t>Lawless, RM; Buttemer, WA; Astheimer, LB; Kerry, KR</t>
  </si>
  <si>
    <t>The influence of thermoregulatory demand on contact creching behaviour in Adelie Penguin chicks</t>
  </si>
  <si>
    <t>JOURNAL OF THERMAL BIOLOGY</t>
  </si>
  <si>
    <t>Adelie Penguin; Pygoscelis adeliae; chick; thermoregulation; creche; contact behaviour</t>
  </si>
  <si>
    <t>STANDARD OPERATIVE TEMPERATURES; PYGOSCELIS-ADELIAE; THERMAL ENERGETICS; PERSPECTIVES</t>
  </si>
  <si>
    <t>(1) We tested the hypothesis that contact behaviour in Adelie Penguin (Pygoscelis adeliae) chicks of creching age is strongly influenced by thermoregulatory demand. (2) Estimated thermoregulatory costs (% minimal metabolic rate) for early creche stage (1 kg) chicks were much higher (13.4-121.0%) than for late creche (3 kg) chicks (0-45.1%). The incidence of contact behaviour was high during early creche, but uncommon during late creche. (3) Both the percentage of early creche chicks forming contact groups and the mean number of chicks per group increased significantly as thermoregulatory demand increased. (4) Thermoregulatory costs were significantly higher when late creche chicks exhibited contact behaviour than when they did not. (5) Contact behaviour in Adelie Penguin chicks therefore appears to perform a thermoregulatory function and probably confers important energy savings in terms of maintaining a favourable daily energy budget and Maximum fasting duration. (C) 2001 Elsevier science Ltd. All rights reserved.</t>
  </si>
  <si>
    <t>Australian Antarctic Div, Kingston, Tas 7050, Australia; Univ Wollongong, Dept Biol Sci, Australian Flora &amp; Fauna Res Ctr, Wollongong, NSW 2522, Australia</t>
  </si>
  <si>
    <t>Australian Antarctic Division; University of Wollongong</t>
  </si>
  <si>
    <t>Lawless, RM (corresponding author), Australian Antarctic Div, Channel Highway, Kingston, Tas 7050, Australia.</t>
  </si>
  <si>
    <t>Buttemer, William/F-9573-2019</t>
  </si>
  <si>
    <t>Buttemer, William/0000-0003-3176-4452</t>
  </si>
  <si>
    <t>0306-4565</t>
  </si>
  <si>
    <t>J THERM BIOL</t>
  </si>
  <si>
    <t>J. Therm. Biol.</t>
  </si>
  <si>
    <t>10.1016/S0306-4565(00)00049-8</t>
  </si>
  <si>
    <t>Biology; Zoology</t>
  </si>
  <si>
    <t>Life Sciences &amp; Biomedicine - Other Topics; Zoology</t>
  </si>
  <si>
    <t>491KG</t>
  </si>
  <si>
    <t>WOS:000172107100004</t>
  </si>
  <si>
    <t>Whitehead, K; Karentz, D; Hedges, JI</t>
  </si>
  <si>
    <t>Mycosporine-like amino acids (MAAs) in phytoplankton, a herbivorous pteropod (Limacina helicina), and its pteropod predator (Clione antarctica) in McMurdo Bay, Antarctica</t>
  </si>
  <si>
    <t>MARINE BIOLOGY</t>
  </si>
  <si>
    <t>ULTRAVIOLET-RADIATION; MARINE ORGANISMS; ABSORBING COMPOUNDS; OZONE-DEPLETION; FOOD WEB; SEA; REEF; ACCUMULATION; GASTROPODA; MICROALGAE</t>
  </si>
  <si>
    <t>Mycosporine-like amino acids (MAAs) present in a natural phytoplankton assemblage, a herbivorous pteropod, Limacina helicina (Phipps), and a predatory pteropod, Clione antarctica (Smith), that feeds exclusively on L. helicina were investigated in a coastal Antarctic system during January 2000. This study used a novel approach in MAA analysis by incorporating mass spectrometry (LC/MS and LC/MS/MS) to provide the molecular weight and unique fragmentation pattern for each MAA. HPLC and LC/MS analyses of samples collected in the vicinity of McMurdo Station, Antarctica revealed the presence of two MAAs in the phytoplankton assemblage (shinorine and porphyra-334) and five MAAs in each of the pteropods (mycosporine-glycine, shinorine, porphyra-334, palythenic acid, and palythine). If the MAAs present in the phytoplankton represent what was dietarily obtained by the pteropods, concentration factors of 4.8 and 2.4 attend the first and second trophic transfers, respectively. A theoretical reaction scheme is described for the production of mycosporine-glycine, palythenic acid, and palythine from the shinorine and porphyra-334 via microbial and chemical reactions previously observed in other systems. These findings point to the potential for MAAs (and thereby UV-photoprotection) to be transferred, not just from primary producers to primary consumers, but also to the second trophic level of secondary consumers.</t>
  </si>
  <si>
    <t>Univ Washington, Sch Oceanog, Seattle, WA 98105 USA; Univ San Francisco, Dept Biol, San Francisco, CA 94117 USA</t>
  </si>
  <si>
    <t>University of Washington; University of Washington Seattle; University of San Francisco</t>
  </si>
  <si>
    <t>Whitehead, K (corresponding author), Univ Washington, Sch Oceanog, Box 355351, Seattle, WA 98105 USA.</t>
  </si>
  <si>
    <t>0025-3162</t>
  </si>
  <si>
    <t>MAR BIOL</t>
  </si>
  <si>
    <t>Mar. Biol.</t>
  </si>
  <si>
    <t>503HR</t>
  </si>
  <si>
    <t>WOS:000172793500024</t>
  </si>
  <si>
    <t>Grotti, M; Soggia, F; Abelmoschi, ML; Rivaro, P; Magi, E; Frache, R</t>
  </si>
  <si>
    <t>Temporal distribution of trace metals in Antarctic coastal waters</t>
  </si>
  <si>
    <t>MARINE CHEMISTRY</t>
  </si>
  <si>
    <t>trace metals; copper; iron; manganese; temporal distribution; seawater; suspended particulate matter; Antarctica; Ross Sea; Terra Nova Bay, 74 degrees 42.632 ' S, 164 degrees 11.178 ' E</t>
  </si>
  <si>
    <t>ROSS SEA ANTARCTICA; NOVA BAY ANTARCTICA; SOUTHERN-OCEAN; SURFACE SEAWATER; WEDDELL SEA; IRON; CADMIUM; COPPER; PHYTOPLANKTON; RESIN</t>
  </si>
  <si>
    <t>In the framework of the Italian Research Programme in Antarctica, a nearshore station positioned inside the Gerlache Inlet (Terra Nova Bay, Western Ross Sea) was regularly sampled during the Austral Spring 1997/1998, from November to February. In order to evaluate the physical, chemical and biological variations along the water column, measurements of a large number of parameters were performed at a suitable frequency: temperature, salinity, fluorescence, suspended particulate matter, concentration of dissolved and particulate Fe, Cu and Mn, concentration of nutrients and phytoplankton pigments. Samples of pack ice and marine microlayer were also collected and analysed. Elaboration of data with regards to temporal and vertical components provided a good description of temporal distribution of trace metals in the coastal waters of Terra Nova Bay, in relation to the physical and biological processes. Concerning the surface layer, it was found that concentrations are mainly affected by the dynamic of the pack ice melting and phytoplankton activity. The first process influences both the input of metals from meltwaters and the covering of the seawater surface, allowing atmospheric dust input only when all ice has been melted or removed. Direct release from ice of particulate Fe and Cu were clearly shown by surface concentration peaks and by the high concentrations of suspended particulate matter and particulate metals detected in the ice core section interfaced with the seawater. Moreover, a quite complex dynamic dissolved/particulate partitioning was found, which can account for the temporal uncoupling between the maximum values of particulate and dissolved metals. In absence of pack ice, there is evidence of a far-ther input of Fe and Mn due to atmospheric dust brought into the water column through the marine microlayer. This picture is complicated by phytoplankton activity, which removes micronutrients like Fe and Cu from water, incorporating them into organic particulate matter. The dynamic of metal uptake follows that of primary production which, in the studied area, shows a specific trend characterised by two distinct blooms: the first in the second half of December and the second in late summer. In intermediate and deep waters, the vertical distribution of Fe and Mn was characterised by a substantial constant profile until January; then, an increase of particulate metal concentration with depth was observed along with a corresponding decrease of the dissolved concentrations. This trend is typical of these scavenging-type elements which are removed by particulate matter during the sinking process, in the absence of well-defined water column stratification. (C) 2001 Elsevier Science BY. All rights reserved.</t>
  </si>
  <si>
    <t>Univ Genoa, Dept Chem &amp; Ind Chem, I-16146 Genoa, Italy</t>
  </si>
  <si>
    <t>University of Genoa</t>
  </si>
  <si>
    <t>Grotti, M (corresponding author), Univ Genoa, Dept Chem &amp; Ind Chem, Via Dodecaneso 31, I-16146 Genoa, Italy.</t>
  </si>
  <si>
    <t>Magi, Emanuele/C-9564-2011; Rivaro, Paola/I-8305-2012; Grotti, Marco/HGU-3949-2022</t>
  </si>
  <si>
    <t>Magi, Emanuele/0000-0002-8183-5020; Grotti, Marco/0000-0001-6956-5761</t>
  </si>
  <si>
    <t>0304-4203</t>
  </si>
  <si>
    <t>MAR CHEM</t>
  </si>
  <si>
    <t>Mar. Chem.</t>
  </si>
  <si>
    <t>10.1016/S0304-4203(01)00063-9</t>
  </si>
  <si>
    <t>Chemistry, Multidisciplinary; Oceanography</t>
  </si>
  <si>
    <t>Chemistry; Oceanography</t>
  </si>
  <si>
    <t>489NW</t>
  </si>
  <si>
    <t>WOS:000171998700004</t>
  </si>
  <si>
    <t>McMinn, A; Howard, WR; Roberts, D</t>
  </si>
  <si>
    <t>Late Pliocene dinoflagellate cyst and diatom analysis from a high resolution sequence in DSDP Site 594, Chatham Rise, south west Pacific</t>
  </si>
  <si>
    <t>MARINE MICROPALEONTOLOGY</t>
  </si>
  <si>
    <t>pliocene; dinoflagellate; diatom; Chatham Rise; DSDP Site 594</t>
  </si>
  <si>
    <t>CANONICAL CORRESPONDENCE-ANALYSIS; NORTHERN-HEMISPHERE GLACIATION; SEA-SURFACE TEMPERATURE; ATLANTIC OCEAN; SINGA SECTION; SEDIMENTS; AUSTRALIA; CARBONATE; EVOLUTION; CLIMATE</t>
  </si>
  <si>
    <t>A high resolution mixed carbonate and siliciclastic sequence from DSDP Site 594 contains a detailed record of climate change in the late Pliocene. The sequence can be accurately dated by the LAD of Nitzschia weaveri, the LAD of Thalassiosira insigna. the LAD of T. vulnifica and the LAD of T. kolbei diatom datums. Carbonate content and delta (18) signatures provide added resolution and place the sequence between isotope stages 100 and 9. The sequence contains well-preserved and diverse dinoflagellate cyst floras. Use of principal component (PCA) and canonical correspondence analyses (CCA) identifies changes in the assemblages that principally reflect warming and cooling trends. Species associated with warmer climates included Impagidinium patulum, I. paradoxum and I sp. cf. paradoxum while those from cooler climates include Invertecysta tabulata and I. velorum. CCA is shown to be a valuable method of determining the past environmental preferences of extinct species such as I. tabulata. (C) 2001 Elsevier Science B.V. All rights reserved.</t>
  </si>
  <si>
    <t>Univ Tasmania, Inst Antarctic &amp; So Ocean Studies, Hobart, Tas 7001, Australia; Univ Tasmania, Antartic CRC, Hobart, Tas 7001, Australia</t>
  </si>
  <si>
    <t>University of Tasmania; University of Tasmania</t>
  </si>
  <si>
    <t>McMinn, A (corresponding author), Univ Tasmania, Inst Antarctic &amp; So Ocean Studies, Box 252C, Hobart, Tas 7001, Australia.</t>
  </si>
  <si>
    <t>McMinn, Andrew/A-9910-2008</t>
  </si>
  <si>
    <t>Roberts, Donna/0000-0001-6701-6662</t>
  </si>
  <si>
    <t>0377-8398</t>
  </si>
  <si>
    <t>MAR MICROPALEONTOL</t>
  </si>
  <si>
    <t>Mar. Micropaleontol.</t>
  </si>
  <si>
    <t>10.1016/S0377-8398(01)00026-3</t>
  </si>
  <si>
    <t>Paleontology</t>
  </si>
  <si>
    <t>493JL</t>
  </si>
  <si>
    <t>WOS:000172218900003</t>
  </si>
  <si>
    <t>New Zealand Antarctic project</t>
  </si>
  <si>
    <t>495TR</t>
  </si>
  <si>
    <t>WOS:000172356900006</t>
  </si>
  <si>
    <t>Leya, I; Wieler, R; Aggrey, K; Herzog, GF; Schnabel, C; Metzler, K; Hildebrand, AR; Bouchard, M; Jull, AJT; Andrews, HR; Wang, MS; Ferko, TE; Lipschutz, ME; Wacker, JF; Neumann, S; Michel, R</t>
  </si>
  <si>
    <t>Exposure history of the St-Robert (H5) fall</t>
  </si>
  <si>
    <t>METEORITICS &amp; PLANETARY SCIENCE</t>
  </si>
  <si>
    <t>COSMOGENIC NUCLIDES; PRODUCTION-RATES; ANTARCTIC METEORITES; CHONDRITE KNYAHINYA; STONY METEOROIDS; GALACTIC PROTONS; PARTICLES; CL-36; AGES; COMPILATION</t>
  </si>
  <si>
    <t>The compositionally typical H5 chondrite St-Robert has an exposure age, 7.8 Ma, indistinguishable from that of the main cluster of H chondrites. Small values of the cosmogenic Ne-22/Ne-21 ratio in interior samples imply a pre-atmospheric radius on the order of 40 cm. Sample depths based on tracks and the production rates of Bhattacharya et al. (1973) range from 6 to similar to 40 cm and are generally larger than depths estimated from published Co-60 activities, perhaps because the track production rates adopted are too high. Depth profiles of the production rates of C-14, Cl-36, Al-26, Be-10, and Ne-21 in stony material show increases with depth and reach levels 5% to 15% higher than expected from modeling calculations. The maximum concentrations in St-Robert are, however, generally comparable to those measured for the L5 chondrite, Knyahinya, whose pre-atmospheric radius of similar to 45 cm is thought to lead to the maximum possible production rates in chondrites. We infer that the pre-atmospheric radius of St-Robert was within 5 cm of the value that supports maximum production rates (i.e., 45 +/- 5 cm). This radius corresponds to a pre-atmospheric mass of (1.3 +/- 0.4) x 10(3) kg. The agreement of exposure ages for St-Robert obtained in several different ways and the similarity of the depth profiles for C-14, Al-26, Be-10, and Ne-21 argue against a lengthy pre-exposure of St-Robert on the parent body and against a two-stage exposure after launch from the parent body. Following Morbidelli and Gladman (1998), we suggest that St-Robert was chipped from deep in its parent body, spent the next 7-8 Ma without undergoing a major collision, was nudged gradually into an orbital resonance with Jupiter, and then traveled quickly to Earth.</t>
  </si>
  <si>
    <t>Rutgers State Univ, Dept Chem &amp; Chem Biol, Piscataway, NJ 08854 USA; Swiss Fed Inst Technol, CH-8092 Zurich, Switzerland; Humboldt Univ, Museum Nat Kunde, Inst Mineral, D-10099 Berlin, Germany; Univ Calgary, Dept Geol &amp; Geophys, Calgary, AB T2N 1N4, Canada; Univ Montreal, Dept Geol, Montreal, PQ H3C 3J7, Canada; Univ Arizona, NSF, Accelerator Facil Radioisotope Anal, Tucson, AZ 85721 USA; AECL Res, Chalk River Labs, Chalk River, ON K0J 1J0, Canada; Purdue Univ, Dept Chem, W Lafayette, IN 47907 USA; Pacific NW Natl Lab, Richland, WA 99352 USA; Univ Hannover, Ctr Radiat Protect &amp; Radioecol, D-30419 Hannover, Germany</t>
  </si>
  <si>
    <t>Rutgers University System; Rutgers University New Brunswick; Swiss Federal Institutes of Technology Domain; ETH Zurich; Humboldt University of Berlin; Leibniz Institut fur Evolutions und Biodiversitatsforschung; University of Calgary; Universite de Montreal; University of Arizona; National Science Foundation (NSF); Atomic Energy of Canada Limited; Purdue University System; Purdue University; United States Department of Energy (DOE); Pacific Northwest National Laboratory; Leibniz University Hannover</t>
  </si>
  <si>
    <t>Herzog, GF (corresponding author), Rutgers State Univ, Dept Chem &amp; Chem Biol, 610 Taylor Rd, Piscataway, NJ 08854 USA.</t>
  </si>
  <si>
    <t>Wieler, Rainer/A-1355-2010</t>
  </si>
  <si>
    <t>Wieler, Rainer/0000-0001-5666-7494; Leya, Ingo/0000-0002-3843-6681</t>
  </si>
  <si>
    <t>METEORITICAL SOC</t>
  </si>
  <si>
    <t>FAYETTEVILLE</t>
  </si>
  <si>
    <t>DEPT CHEMISTRY/BIOCHEMISTRY, UNIV ARKANSAS, FAYETTEVILLE, AR 72701 USA</t>
  </si>
  <si>
    <t>1086-9379</t>
  </si>
  <si>
    <t>METEORIT PLANET SCI</t>
  </si>
  <si>
    <t>Meteorit. Planet. Sci.</t>
  </si>
  <si>
    <t>10.1111/j.1945-5100.2001.tb01840.x</t>
  </si>
  <si>
    <t>502HA</t>
  </si>
  <si>
    <t>WOS:000172736900006</t>
  </si>
  <si>
    <t>Poglazova, MN; Mitskevich, IN; Abyzov, SS; Ivanov, MV</t>
  </si>
  <si>
    <t>Microbiological characterization of the accreted ice of subglacial Lake Vostok, Antarctica</t>
  </si>
  <si>
    <t>MICROBIOLOGY</t>
  </si>
  <si>
    <t>Antarctica; glacier; anabiosis; microorganisms</t>
  </si>
  <si>
    <t>SHEET; MICROORGANISMS</t>
  </si>
  <si>
    <t>The accreted ice of subglacial Lake Vostok extends upward from the lake water level (a depth of 3750 m) to the bottom surface of the overlying Antarctic ice sheet. All of the accreted ice samples, taken from depths between 3541 and 3611 m, were found to contain pro- and eukaryotic, microorganisms, whose number and diversity varied in different ice horizons and correlated, to a certain degree, with the occurrence of organic and inorganic impurities in a given horizon. Some biological objects found in the accreted lake ice, including bacteria, microalgae, and the pollen of higher plants, were morphologically similar to those found earlier in the glacier ice bulk. ne others were not. It is suggested that the microorganisms found in the lake ice may come from different locations-the bottom layer of the glacier ice, the bedrock underlying the glacier, and the lake water.</t>
  </si>
  <si>
    <t>Russian Acad Sci, Inst Microbiol, Moscow 117312, Russia</t>
  </si>
  <si>
    <t>Research Center of Biotechnology RAS; Russian Academy of Sciences</t>
  </si>
  <si>
    <t>Poglazova, MN (corresponding author), Russian Acad Sci, Inst Microbiol, Pr 60 Letiya Oktyabrya 7,K 2, Moscow 117312, Russia.</t>
  </si>
  <si>
    <t>MAIK NAUKA/INTERPERIODICA/SPRINGER</t>
  </si>
  <si>
    <t>233 SPRING ST, NEW YORK, NY 10013-1578 USA</t>
  </si>
  <si>
    <t>0026-2617</t>
  </si>
  <si>
    <t>1608-3237</t>
  </si>
  <si>
    <t>MICROBIOLOGY+</t>
  </si>
  <si>
    <t>NOV-DEC</t>
  </si>
  <si>
    <t>10.1023/A:1013148101626</t>
  </si>
  <si>
    <t>509AX</t>
  </si>
  <si>
    <t>WOS:000173123100014</t>
  </si>
  <si>
    <t>Cullen, D; Baker, I</t>
  </si>
  <si>
    <t>Observation of impurities in ice</t>
  </si>
  <si>
    <t>MICROSCOPY RESEARCH AND TECHNIQUE</t>
  </si>
  <si>
    <t>WATER-VEIN SYSTEM; POLYCRYSTALLINE ICE; THERMAL-BEHAVIOR; ANTARCTIC ICE; SULFURIC-ACID</t>
  </si>
  <si>
    <t>This paper presents a new method for determining the microstructural location of impurities in polycrystalline ice, which involves allowing the ice to sublimate under vacuum and then identifying the concentrated impurities using energy dispersive X-ray microanalysis in a low-vacuum scanning electron microscope. The method allows the presence of impurities in both the grain boundaries and the lattice of natural polycrystalline ice to be observed. Using this technique on natural ice, filaments consisting chiefly of NaCl were observed in some grain boundaries, small amounts of sulfur and chlorine were found in the grain interiors of the ice, and large concentrations of sulfur were observed in inclusions. Microsc. Res. Tech. 55:198-207, 2001. (C) 2001 Wiley-Liss, Inc.</t>
  </si>
  <si>
    <t>Dartmouth Coll, Thayer Sch Engn, Hanover, NH 03755 USA</t>
  </si>
  <si>
    <t>Dartmouth College</t>
  </si>
  <si>
    <t>Baker, I (corresponding author), Dartmouth Coll, Thayer Sch Engn, 112 Cummings Hall, Hanover, NH 03755 USA.</t>
  </si>
  <si>
    <t>WILEY-LISS</t>
  </si>
  <si>
    <t>DIV JOHN WILEY &amp; SONS INC, 605 THIRD AVE, NEW YORK, NY 10158-0012 USA</t>
  </si>
  <si>
    <t>1059-910X</t>
  </si>
  <si>
    <t>MICROSC RES TECHNIQ</t>
  </si>
  <si>
    <t>Microsc. Res. Tech.</t>
  </si>
  <si>
    <t>10.1002/jemt.10000</t>
  </si>
  <si>
    <t>Anatomy &amp; Morphology; Biology; Microscopy</t>
  </si>
  <si>
    <t>Anatomy &amp; Morphology; Life Sciences &amp; Biomedicine - Other Topics; Microscopy</t>
  </si>
  <si>
    <t>490DX</t>
  </si>
  <si>
    <t>WOS:000172036100008</t>
  </si>
  <si>
    <t>Burg, TM; Croxall, JP</t>
  </si>
  <si>
    <t>Global relationships amongst black-browed and grey-headed albatrosses: analysis of population structure using mitochondrial DNA and microsatellites</t>
  </si>
  <si>
    <t>MOLECULAR ECOLOGY</t>
  </si>
  <si>
    <t>albatross; microsatellite; mtDNA; phylogenetics; speciation; Thalassarche</t>
  </si>
  <si>
    <t>CONTROL-REGION SEQUENCES; BODIED SAGE GROUSE; CAMPBELL ISLAND; NEW-ZEALAND; GENETIC-RELATIONSHIPS; DIOMEDEA-MELANOPHRYS; SIZE HOMOPLASY; BIRDS; CONSERVATION; CHRYSOSTOMA</t>
  </si>
  <si>
    <t>The population structure of black-browed (Thalassarche melanophris and T. impavida) and grey-headed (T. chrysostoma) albatrosses was examined using both mitochondrial DNA (mtDNA) and microsatellite analyses. mtDNA sequences from 73 black-browed and 50 grey-headed albatrosses were obtained from five island groups in the Southern Ocean. High levels of sequence divergence were found in both taxa (0.55-7.20% in black-browed albatrosses and 2.10-3.90% in grey-headed albatrosses). Black-browed albatrosses form three distinct groups: Falklands, Diego Ramirez/South Georgia/Kerguelen, and Campbell Island (T. impavida). T. melanophris from Campbell Island contain birds from each of the three groups, indicating high levels of mixture and hybridization. In contrast, grey-headed albatrosses form one globally panmictic population. Microsatellite analyses on a larger number of samples using seven highly variable markers found similar population structure to the mtDNA analyses in both black-browed and grey-headed albatrosses. Differences in population structure between these two very similar and closely related species could be the result of differences in foraging and dispersal patterns. Breeding black-browed albatrosses forage mainly over continental shelves and migrate to similar areas when not breeding. Grey-headed albatrosses forage mainly at frontal systems, travelling widely across oceanic habitats outside the breeding season. Genetic analyses support the current classification of T. impavida as being distinct from T. melanophris, but would also suggest splitting T. melanophris into two groups: Falkland Islands, and Diego Ramirez/South Georgia/Kerguelen.</t>
  </si>
  <si>
    <t>Univ Cambridge, Dept Zool, Cambridge CB2 3EJ, England; British Antarctic Survey, NERC, Cambridge CB3 0ET, England</t>
  </si>
  <si>
    <t>University of Cambridge; UK Research &amp; Innovation (UKRI); Natural Environment Research Council (NERC); NERC British Antarctic Survey</t>
  </si>
  <si>
    <t>Burg, TM (corresponding author), Univ Colorado, Dept EPO Biol, N122 Ramaley, Boulder, CO 80309 USA.</t>
  </si>
  <si>
    <t>0962-1083</t>
  </si>
  <si>
    <t>MOL ECOL</t>
  </si>
  <si>
    <t>Mol. Ecol.</t>
  </si>
  <si>
    <t>10.1046/j.0962-1083.2001.01392.x</t>
  </si>
  <si>
    <t>Biochemistry &amp; Molecular Biology; Ecology; Evolutionary Biology</t>
  </si>
  <si>
    <t>Biochemistry &amp; Molecular Biology; Environmental Sciences &amp; Ecology; Evolutionary Biology</t>
  </si>
  <si>
    <t>497YT</t>
  </si>
  <si>
    <t>WOS:000172483600006</t>
  </si>
  <si>
    <t>Searles, PS; Kropp, BR; Flint, SD; Caldwell, MM</t>
  </si>
  <si>
    <t>Influence of solar UV-B radiation on peatland microbial communities of southern Argentinia</t>
  </si>
  <si>
    <t>NEW PHYTOLOGIST</t>
  </si>
  <si>
    <t>ultraviolet-B radiation (UV-B); peatland; Sphagnum magellanicum; testate amoebae; Assulina muscorum; fungi; Aureobasidium; Tierra del Fuego; Argentina</t>
  </si>
  <si>
    <t>TIERRA-DEL-FUEGO; TESTATE AMEBAS PROTOZOA; ULTRAVIOLET-RADIATION; OZONE DEPLETION; NATURAL ECOSYSTEM; PHYLLOPLANE FUNGI; RESPONSES; PHYTOPLANKTON; RHIZOPODA; IMPACT</t>
  </si>
  <si>
    <t>. Stratospheric ozone depletion occurs over Tierra del Fuego, Argentina, in the austral spring and summer due to the Antarctic 'ozone hole' and the general erosion of the ozone layer. Thus, we investigated the responses of microbial communities to manipulations of solar UV-B radiation. . Results reported here are for field plots receiving either near-ambient or reduced solar UV-B using plastic filters in a Sphagnum peatland and a Carex fen during the second and third years of UV-B manipulations. . The total number of testate amoebae (Protozoa, Rhizopoda) inhabiting the upper centimeter of Sphagnum magellanicum was greater under near-ambient solar UV-B than under reduced UV,B. No response to UV-B manipulation was apparent for rotifers, nematodes, bacteria, microfungi, and a common microalga (Euglena mutabilis) inhabiting the S. magellanicum. on leaves of small Nothofagus antarctica trees, the ratio of upper: lower leaf-surface fungal populations for the genus Aureobasidium and for total fungi indicated lower populations on the upper, relative to the lower, surface under near-ambient solar UV-B. . When responses to modifications of the solar UV-B flux were detected, these involved both direct UV-B inhibition and indirect consequences of UV-B manipulation.</t>
  </si>
  <si>
    <t>Utah State Univ, Dept Rangeland Resources, Logan, UT 84322 USA; Utah State Univ, Dept Biol, Logan, UT 84322 USA; Utah State Univ, Ctr Ecol, Logan, UT 84322 USA</t>
  </si>
  <si>
    <t>Utah System of Higher Education; Utah State University; Utah System of Higher Education; Utah State University; Utah System of Higher Education; Utah State University</t>
  </si>
  <si>
    <t>Univ Calif Davis, Dept Vegetable Crops, 1 Shields Ave, Davis, CA 95616 USA.</t>
  </si>
  <si>
    <t>searles@vegmail.ucdavis.edu</t>
  </si>
  <si>
    <t>Searles, Peter/0000-0002-2867-5881</t>
  </si>
  <si>
    <t>0028-646X</t>
  </si>
  <si>
    <t>1469-8137</t>
  </si>
  <si>
    <t>NEW PHYTOL</t>
  </si>
  <si>
    <t>New Phytol.</t>
  </si>
  <si>
    <t>10.1046/j.0028-646X.2001.00254.x</t>
  </si>
  <si>
    <t>484GL</t>
  </si>
  <si>
    <t>WOS:000171681800005</t>
  </si>
  <si>
    <t>Bharathi, PAL; Nair, S; De Souza, MJBD; Chandramohan, D</t>
  </si>
  <si>
    <t>Assessment of viability in the bacterial standing stock of the Antarctic sea from the Indian side</t>
  </si>
  <si>
    <t>OCEANOLOGICA ACTA</t>
  </si>
  <si>
    <t>bacteria; viability; Antarctic ocean; Indian side</t>
  </si>
  <si>
    <t>PRIMARY PRODUCTIVITY; NUTRIENTS; SECTOR</t>
  </si>
  <si>
    <t>During the austral summer, we examined the bacterial population along the cruise track extending from 70degrees S and 18degrees E to 30degrees S and 35degrees E. During the cruise, three distinct fractions of the bacterioplankton viz. total count, total direct viable and retrievable counts were simultaneously enumerated in these waters. In the stations south of the convergent region designated as section I the population ranged within 10(8-9) L-1 whereas in the north of the region designated as section 11 they were one order higher and ranged from 10(9-10) L-1. The percentage of viability in the region was high corresponding to the generally high chlorophyll and primary productivity encountered in the eastern Aghulas bank. The study substantiates the hypothesis that in the Antarctic, not only the bacterial standing stock but also the active population of bacterioplankton (ca. 50 %) are almost equal in abundance to those in the other oceanic or coastal regions. The viable fraction forms a hitherto unreported significant component of these waters. (C) 2001 Ifremer/CNRS/IRD/Editions scientifiques et medicales Elsevier SAS.</t>
  </si>
  <si>
    <t>Natl Inst Oceanog, Div Biol Oceanog, Panaji 403004, Goa, India</t>
  </si>
  <si>
    <t>Council of Scientific &amp; Industrial Research (CSIR) - India; CSIR - National Institute of Oceanography (NIO)</t>
  </si>
  <si>
    <t>Bharathi, PAL (corresponding author), Natl Inst Oceanog, Div Biol Oceanog, Panaji 403004, Goa, India.</t>
  </si>
  <si>
    <t>loka@csnio.ren.nic.in</t>
  </si>
  <si>
    <t>de Souza, Mauricio Jorge MJPS Pinto/J-7488-2013</t>
  </si>
  <si>
    <t>Gonsalves, Judith/0000-0001-9074-2902</t>
  </si>
  <si>
    <t>GAUTHIER-VILLARS/EDITIONS ELSEVIER</t>
  </si>
  <si>
    <t>PARIS</t>
  </si>
  <si>
    <t>23 RUE LINOIS, 75015 PARIS, FRANCE</t>
  </si>
  <si>
    <t>0399-1784</t>
  </si>
  <si>
    <t>OCEANOL ACTA</t>
  </si>
  <si>
    <t>Oceanol. Acta</t>
  </si>
  <si>
    <t>513DW</t>
  </si>
  <si>
    <t>WOS:000173363500006</t>
  </si>
  <si>
    <t>Poole, I; Cantrill, D</t>
  </si>
  <si>
    <t>Fossil woods from Williams Point Beds, Livingston Island, Antarctica: A Late Cretaceous southern high latitude flora</t>
  </si>
  <si>
    <t>PALAEONTOLOGY</t>
  </si>
  <si>
    <t>Late Cretaceous; wood; angiosperm; gymnosperm; Antarctica</t>
  </si>
  <si>
    <t>GONDWANAN POLAR FORESTS; ALEXANDER-ISLAND; WEST ANTARCTICA; TRIASSIC FLORA; 1ST RECORD; SAHNIOXYLON; ELEMENT; SYSTEM</t>
  </si>
  <si>
    <t>The wood flora from Williams Point, Livingston Island, contains 12 wood types of gymnosperm and angiosperm origin. Recent collections of material have increased the biodiversity of a postulated species-rich vegetation. The gymnosperm wood can be readily assigned to four form-genera: Araucarioxylon Kraus, Araucariopitys Jeffrey, Podocarpoxylon Gothan and Sahnioxylon Bose and Sah. This indicates a diversity of coniferous araucarian and podocarp trees alongside woods of uncertain affinity (Sahnioxylon; ?Bennettitales). Two angiosperm morphotypes are assigned to the organ genera Hedycaryoxylon Suss (Monimiaceae) and Weinmannioxylon Petriella (Cunoniaceae). The remaining four taxa of angiosperm wood cannot be confidently placed in extant families as they exhibit features that suggest relationships with the Magnoliidae, Hamamelidae and Rosidae. This paper presents the first comprehensive taxonomic revision of the wood flora from Livingston Island and discusses the palaeoecology that prevailed at a latitude of about 60 degrees south during the Late Cretaceous. Newly described taxa are Araucarioxylon chapmanae sp. nov., Araucariopitys antarcticus sp. nov., Podocarpoxylon chapmanae sp. nov., A verticalis sp. nov., P. communis sp. nov., Weinmannioxylon ackamoides sp. nov., Antarctoxylon livingstonensis gen. et sp. nov., A. multiseriatum gen. et sp. nov., A. heteroporosum gen. et sp. nov. and A. uniperforatum gen et sp. nov.</t>
  </si>
  <si>
    <t>Univ Utrecht, Natl Herbarium Netherlands, Wood Anat Sect, NL-3585 CS Utrecht, Netherlands; British Antarctic Survey, Nat Environm Res Council, Cambridge CB3 0ET, England</t>
  </si>
  <si>
    <t>Utrecht University; UK Research &amp; Innovation (UKRI); Natural Environment Research Council (NERC); NERC British Antarctic Survey</t>
  </si>
  <si>
    <t>Univ Utrecht, Natl Herbarium Netherlands, Wood Anat Sect, POB 80102, NL-3585 CS Utrecht, Netherlands.</t>
  </si>
  <si>
    <t>Cantrill, David/R-1415-2019</t>
  </si>
  <si>
    <t>Cantrill, David/0000-0002-1185-4015</t>
  </si>
  <si>
    <t>0031-0239</t>
  </si>
  <si>
    <t>1475-4983</t>
  </si>
  <si>
    <t>10.1111/1475-4983.00216</t>
  </si>
  <si>
    <t>506QG</t>
  </si>
  <si>
    <t>WOS:000172982800002</t>
  </si>
  <si>
    <t>Pütz, K; Ingham, RJ; Smith, JG; Croxall, JP</t>
  </si>
  <si>
    <t>Population trends, breeding success and diet composition of gentoo Pygoscelis papua, magellanic Spheniscus magellanicus and rockhopper Eudyptes chrysocome penguins in the Falkland Islands</t>
  </si>
  <si>
    <t>DIOMEDEA-MELANOPHRIS; FISHERIES; DISCARDS; AVAILABILITY; COMPETITION; RESPONSES; PATAGONIA; TRAWLERS</t>
  </si>
  <si>
    <t>Data on population size, breeding success and diet composition of gentoo (Pygoscelis papua), magellanic (Spheniscus magellanicus) and rockhopper (Eudyptes chrysocome) penguins, collected as part of the Falkland Island Seabird Monitoring Programme from 1986/1987 to 1998/1999, were analysed with regard to spatial and temporal variation, as well as potential interaction with local commercial fisheries. No significant population trends were detectable, mainly because of the short time-series and large spatial and inter-annual variation in the number of breeding pairs in the colonies monitored. However, the breeding success of all three penguin species has improved slightly over the last few years, indicating a potential for increasing populations in the near future. During the breeding season, all three penguin species preyed opportunistically on a mixture of fish, squid and crustaceans. Diet composition too showed a high degree of spatial and temporal variation. However, in all three penguin species studied, squid gradually disappeared from the diet over successive years, to be replaced by fish. Coincidentally, the commercial catches of the squid species Loligo gahi in Falkland Islands waters decreased and the by-catch of nototheniid fish increased. All three penguin species compete directly with the commercial fishing fleet for L. gahi; however, there may also be competition for Patagonian toothfish (Dissostichus eleginoides), hake (Merluccius sp.) and southern blue whiting (Micromesistius australis), because juveniles of these species were found regularly in penguin diets.</t>
  </si>
  <si>
    <t>Antarctic Res Trust, Stanley, Falkland Isl, England; Falklands Convers, Stanley, Falkland Isl, England; British Antarctic Survey, NERC, Cambridge CB3 0ET, England</t>
  </si>
  <si>
    <t>K.Putz@surfeu.de</t>
  </si>
  <si>
    <t>Puetz, Klemens/0000-0003-1375-2669</t>
  </si>
  <si>
    <t>10.1007/s003000100293</t>
  </si>
  <si>
    <t>494HD</t>
  </si>
  <si>
    <t>WOS:000172275100001</t>
  </si>
  <si>
    <t>Lohan, MC; Statham, PJ; Peck, L</t>
  </si>
  <si>
    <t>Trace metals in the Antarctic soft-shelled clam Laternula elliptica:: implications for metal pollution from Antarctic research stations</t>
  </si>
  <si>
    <t>STATES-MUSSEL-WATCH; KING GEORGE ISLAND; BAY</t>
  </si>
  <si>
    <t>The concentrations of Cd, Cr, Cu, Fe, Mn, Ni, Pb and Zn were measured in several soft-tissue types of the Antarctic soft-shelled clam, Laternula elliptica, which had been collected from Rothera Research Station, Adelaide Island, Antarctic Peninsula. Concentrations of Mn, Ni, Cr and Pb were significantly higher in the kidney than in any other soft tissue and highest concentrations of Cu were observed in the digestive gland. In general, the total tissue concentrations of heavy metals in L. elliptica were considered to be at baseline levels, except for Cu in organisms near the end of the runway. Copper concentrations were an order of magnitude greater (357 mug/g dry weight) than baseline levels, suggesting anthropogenic contamination or an unidentified natural source. However, there was no indication of anthropogenic metal contamination occurring close to the sewage outfall at Rothera, which is a significant metal source. The results indicate that L. elliptica is a useful long-term biomonitor of heavy metal contamination in Antarctic coastal waters.</t>
  </si>
  <si>
    <t>Univ Southampton, Southampton Oceanog Ctr, Sch Ocean &amp; Earth Sci, Southampton SO14 3ZH, Hants, England; British Antarctic Survey, Cambridge CB3 0ET, England</t>
  </si>
  <si>
    <t>NERC National Oceanography Centre; University of Southampton; UK Research &amp; Innovation (UKRI); Natural Environment Research Council (NERC); NERC British Antarctic Survey</t>
  </si>
  <si>
    <t>Lohan, MC (corresponding author), Univ Southampton, Southampton Oceanog Ctr, Sch Ocean &amp; Earth Sci, European Way, Southampton SO14 3ZH, Hants, England.</t>
  </si>
  <si>
    <t>mcl98@soc.soton.ac.uk</t>
  </si>
  <si>
    <t>Lohan, Maeve/0000-0002-5340-3108</t>
  </si>
  <si>
    <t>10.1007/s003000100279</t>
  </si>
  <si>
    <t>WOS:000172275100002</t>
  </si>
  <si>
    <t>Mathieu, M; Testino, M; Candiani, S; Vallarino, M; Pestarino, M</t>
  </si>
  <si>
    <t>Organization of neuropeptide tyrosine-like immunoreactive system in the brain of the Antarctic fish, Trematomus bernacchii</t>
  </si>
  <si>
    <t>Y-LIKE IMMUNOREACTIVITY; PARAVENTRICULAR NUCLEUS; PANCREATIC-POLYPEPTIDE; GONADOTROPIN-RELEASE; CHIONODRACO-HAMATUS; GOLDFISH BRAIN; SALMO-SALAR; PEPTIDE-YY; PITUITARY; LOCALIZATION</t>
  </si>
  <si>
    <t>Antarctic notothenioids have developed unique freezing-resistance adaptations, including brain diversification, to survive in the subzero waters of the Southern Ocean surrounding Antarctica. In this study we have investigated the anatomical distribution of neuropeptide tyrosine (NPY)-like immunoreactive elements in the brain of the Antarctic fish Trematomus bernacchii, by using an antiserum raised against porcine NPY. Perikarya exhibiting NPY-like immunoreactivity were observed in distinct regions of the brain. The most rostral group of immunoreactive perikarya was found in the telencephalon, within the entopeduncular nucleus. In the diencephalon, three groups of NPY-like immunoreactive perikarya were found in the hypothalamus. Two groups of positive cell bodies were found in distinct populations of the preoptic nucleus, whereas the other group was found in the nucleus of the lateral recess. More caudally, NPY immunoreactivity was detected in large neurons located in the subependymal layers of the dorsal tegmentum of the mesencephalon, medially to the torus semicircularis. NPY-like immunoreactive nerve fibres were more widely distributed throughout the telencephalon to the rhombencephalon. High densities of nerve fibres and terminals were observed in several regions of the telencephalon, olfactory bulbs, hypothalamus, tectum of the mesencephalon and in the ventral tegmentum of the rhombencephalon. The distribution of NPY-like immunoreactive structures suggests that, in Trematomus, this peptide may be involved in the control of several brain functions, including olfactory activity, feeding behaviour, and somatosensory and visual information. In comparison with other neuropeptides previously described in the brain of Antarctic fish, NPY is more widely distributed. Our data also indicate the existence of differences in the brain distribution of NPY between Trematomus and other teleosts. In contrast with previous results reported in other fish, Trematomus contains positive fibres in the olfactory bulbs and immunoreactive perikarya in the nucleus of the lateral recess, whereas NPY-immunopositive cell bodies are absent in the thalamus and rhombencephalon, and no NPY immunoreactivity is present in the pituitary. These differences Could be related to the Antarctic ecological diversity of notothenioids living at subzero temperatures.</t>
  </si>
  <si>
    <t>Univ Genoa, Dipartimento Biol Sperimentale Ambiental &amp; Applic, Sez Neuroendocrinol &amp; Biol Sviluppo, I-16132 Genoa, Italy</t>
  </si>
  <si>
    <t>Univ Genoa, Dipartimento Biol Sperimentale Ambiental &amp; Applic, Sez Neuroendocrinol &amp; Biol Sviluppo, Viale Benedetto XV, I-16132 Genoa, Italy.</t>
  </si>
  <si>
    <t>mvallari@unige.it</t>
  </si>
  <si>
    <t>Pestarino, Mario/AAN-8128-2021; Candiani, Simona/P-8640-2014; Pestarino, Mario/B-9062-2011</t>
  </si>
  <si>
    <t>Candiani, Simona/0000-0002-4453-5475; Pestarino, Mario/0000-0003-1681-8950</t>
  </si>
  <si>
    <t>233 SPRING ST, NEW YORK, NY 10013 USA</t>
  </si>
  <si>
    <t>10.1007/s003000100284</t>
  </si>
  <si>
    <t>WOS:000172275100003</t>
  </si>
  <si>
    <t>Allcock, AL; Piatkowski, U; Rodhouse, PGK; Thorpe, JP</t>
  </si>
  <si>
    <t>A study on octopodids from the eastern Weddell Sea, Antarctica</t>
  </si>
  <si>
    <t>SOUTH-GEORGIA; DISPERSAL; WATER</t>
  </si>
  <si>
    <t>A comprehensive study of octopodids in the Weddell Sea was conducted during cruise ANT XIII/3 of RV Polarstern. The study yielded eight species or incirrate octopodids, three of which were undescribed. There appeared to be no differences in octopodid species assemblage in the two sampling areas (Kapp Norvegia and south of Drescher Inlet), supporting the theory that there is a single macrobenthic assemblage on the eastern shelf of the Weddell Sea. Six of the octopodid species belonged to the genus Pareledone, illustrating the extensive radiation of this endemic genus within the Southern Ocean. The fragmented nature of suitable habitats and disturbance caused by glaciation cycles are proposed as mechanisms for this radiation. Comparative data illustrate that both the number of octopodid species present and their abundance are greater at higher latitudes than close to the Antarctic Polar Frontal Zone.</t>
  </si>
  <si>
    <t>Univ Liverpool, Port Erin Marine Lab, Port Erin IM9 6JA, Man, England; Inst Meereskunde, D-24105 Kiel, Germany; British Antarctic Survey, Cambridge CB3 0ET, England</t>
  </si>
  <si>
    <t>University of Liverpool; UK Research &amp; Innovation (UKRI); Natural Environment Research Council (NERC); NERC British Antarctic Survey</t>
  </si>
  <si>
    <t>Allcock, AL (corresponding author), Natl Museums Scotland, Chambers St, Edinburgh EH1 1JF, Midlothian, Scotland.</t>
  </si>
  <si>
    <t>Allcock, Louise/A-7359-2012; Piatkowski, Uwe/G-4161-2011</t>
  </si>
  <si>
    <t>Allcock, Louise/0000-0002-4806-0040; Rodhouse, Paul/0000-0001-5399-967X; Piatkowski, Uwe/0000-0003-1558-5817</t>
  </si>
  <si>
    <t>WOS:000172275100005</t>
  </si>
  <si>
    <t>Bouillon, J; Pagès, F; Gili, JM</t>
  </si>
  <si>
    <t>New species of benthopelagic hydromedusae from the Weddell Sea</t>
  </si>
  <si>
    <t>BENTHIC BOUNDARY-LAYER; OXYGEN-CONSUMPTION; CONNECTIONS; COMMUNITIES; ZOOPLANKTON; BATHYAL; BIOMASS; MEDUSAE; OCEAN</t>
  </si>
  <si>
    <t>Four medusa species were collected by an epibenthic sledge during the Polarstern ANT XV/3 cruise carried out from January to March 1998 in the eastern Weddell Sea. The specimens were collected in the benthic boundary layer at depths ranging between 1,583 and 2,034 m; 2 of the species collected are new to science. The narcomedusa Sigiweddellia bathypelagica gen. nov. et sp. nov. is characterised by two types of marginal tentacles and closed marginal statocysts. The trachymedusa Voragonema laciniata sp. nov. (known only from the single holotype) is characterised by the number and irregular shape of the centripetal canals. These findings are the first to report benthopelagic hydromedusae in deep Antarctic waters. Examination of several specimens of Benthocodon pedunculata (Bigelow 1913) leads us to move it to the genus Voragonema Naumov 1971 because of the clear presence of centripetal expansions in the ring canal.</t>
  </si>
  <si>
    <t>CSIC, Inst Ciencies Mar, E-08039 Barcelona, Spain; Free Univ Brussels, Marine Biol Lab, B-1050 Brussels, Belgium</t>
  </si>
  <si>
    <t>Consejo Superior de Investigaciones Cientificas (CSIC); CSIC - Centro Mediterraneo de Investigaciones Marinas y Ambientales (CMIMA); CSIC - Instituto de Ciencias del Mar (ICM); Universite Libre de Bruxelles</t>
  </si>
  <si>
    <t>Pagès, F (corresponding author), CSIC, Inst Ciencies Mar, Placa del Mar S-N, E-08039 Barcelona, Spain.</t>
  </si>
  <si>
    <t>10.1007/s003000100289</t>
  </si>
  <si>
    <t>WOS:000172275100006</t>
  </si>
  <si>
    <t>Pisano, E; Mazzei, F; Derome, N; Ozouf-Costaz, C; Hureau, JC; di Prisco, G</t>
  </si>
  <si>
    <t>Cytogenetics of the bathydraconid fish Gymnodraco acuticeps (Perciformes, Notothenioidei) from Terra Nova Bay, Ross Sea</t>
  </si>
  <si>
    <t>EVOLUTION; LOCATION; FAUNA</t>
  </si>
  <si>
    <t>In the framework of the I.C.E.FISH (International Collaborative Effort on Antarctic Fish Adaptive Evolution) project, during the 1998-1999 season at the Italian shore-based Terra Nova Bay Station, the broad fields of adaptation and evolution of the fish suborder Notothenioidei were tackled through the integration of many disciplines. As a representative contribution of I.C.E.FISH, a cytogenetic study of the bathydraconid fish Gymnodraco acuticeps is reported. The Bathydraconidae is a heterogeneous notothenioid taxon whose intra-family relationships are very uncertain. The conventional karyotype and the location of nuclear ribosomal genes, by means of fluorescence in situ hybridisation, contributed to species-specific characterisation and provided the basis for comparative analyses. The karyotype of G. acuticeps consists of 48 chromosomes (2 metacentric, 2 submetacentric and 44 acrocentric); major ribosomal cistrons correspond to a large region in a single chromosome pair. Mapping of the available karyotypic data on a molecular phylogenetic tree provided information on chromosomal diversification during the cladogenesis of the bathydraconids.</t>
  </si>
  <si>
    <t>Univ Genoa, Dept Expt Environm &amp; Appl Biol, I-16132 Genoa, Italy; Natl Museum Nat Hist, Paris, France; CNR, Inst Prot Biochem &amp; Enzymol, I-80125 Naples, Italy</t>
  </si>
  <si>
    <t>University of Genoa; Museum National d'Histoire Naturelle (MNHN); Consiglio Nazionale delle Ricerche (CNR); Istituto di Biochimica delle Proteine (IBP-CNR)</t>
  </si>
  <si>
    <t>Pisano, E (corresponding author), Univ Genoa, Dept Expt Environm &amp; Appl Biol, Viale Benedetto XV,5, I-16132 Genoa, Italy.</t>
  </si>
  <si>
    <t>pisano@unige.it</t>
  </si>
  <si>
    <t>WOS:000172275100007</t>
  </si>
  <si>
    <t>Graeve, M; Dauby, P; Scailteur, Y</t>
  </si>
  <si>
    <t>Combined lipid, fatty acid and digestive tract content analyses: a penetrating approach to estimate feeding modes of Antarctic amphipods</t>
  </si>
  <si>
    <t>HERBIVOROUS COPEPODS; PHAEOCYSTIS BLOOMS; MCMURDO-SOUND; WAX ESTERS; CRUSTACEA; DIET; SEA; ACANTHONOTOZOMATIDAE; PHOSPHOLIPIDS; MORPHOLOGY</t>
  </si>
  <si>
    <t>Antarctic amphipods from the Weddell Sea and Bransfield Strait were collected to investigate the impact of various species and feeding types on lipid and fatty acid compositions. In combination with digestive tract content analyses, such information can help clarify the type of feeding mode of the various amphipod species. Micro- and macropredatory amphipod species had only small amounts of triacylglycerols as storage lipids, whereas the deposit-feeder Epimeria georgiana was rich in triacylglycerols (55% of total lipids). The fatty acids 22:6(n-3), 20:5(n-3), 18:1(n-9) and 16:0 were major lipid components of most species. Ampelisca richardsoni, a suspension feeder, had a high amount of 18:4(n-3), a major component of cryptophytes and/or haptophytes, connected with feeding on sedimenting phytoplanktonic material and with a strong bentho-pelagic coupling. In Oradarea edentata, fragments of brown algae were found almost exclusively. The major fatty acid of the macroalgae, 20:4(n-6), replaced the 22:6(n-3) in the phospholipids and triacylglycerols of the amphipod. The sponge ester, Echiniphimedia hodgsoni, was rich in 16:1(n-7) and 18:1(n-7), suggesting that the unidentifiable organic matter was of diatom origin. Eusirus perdentatus, a typical predator, had high proportions of saturated and monounsaturated fatty acids, showing no specialisation in lipid and fatty acid composition. The fatty acid composition of Epimeria georgiana was similar to that of Eusirus perdentatus. However, high levels of triacylglycerols in Epimeria georgiana reflect periodical food plenty and starvation, due to its dependence on dead items. The fatty acid composition of the necrophage Waldeckia obesa was clearly different because of the predominance of 18:1(n-9) (&gt;40% of total fatty acids). This dominance is probably the result of feeding on highly degraded carrion-derived organic matter, which is the major food of W. obesa.</t>
  </si>
  <si>
    <t>Alfred Wegener Inst Polar &amp; Marine Res, D-27515 Bremerhaven, Germany; Royal Belgian Inst Nat Sci, B-1000 Brussels, Belgium</t>
  </si>
  <si>
    <t>Helmholtz Association; Alfred Wegener Institute, Helmholtz Centre for Polar &amp; Marine Research; Royal Belgian Institute of Natural Sciences</t>
  </si>
  <si>
    <t>Graeve, M (corresponding author), Alfred Wegener Inst Polar &amp; Marine Res, Postfach 120161, D-27515 Bremerhaven, Germany.</t>
  </si>
  <si>
    <t>Graeve, Martin/B-5751-2017</t>
  </si>
  <si>
    <t>Graeve, Martin/0000-0002-2294-1915</t>
  </si>
  <si>
    <t>WOS:000172275100008</t>
  </si>
  <si>
    <t>Wierzchos, J; Ascaso, C</t>
  </si>
  <si>
    <t>Life, decay and fossilisation of endolithic microorganisms from the Ross Desert, Antarctica</t>
  </si>
  <si>
    <t>BIOWEATHERED GRANITIC BIOTITE; LICHEN-ROCK INTERFACE; MICROFOSSILS; MICROSCOPY; AUSTRALIA; COMMUNITY; BACTERIA; WATER</t>
  </si>
  <si>
    <t>The adaptation and survival of the endolithic microorganisms that colonise the near-surface layer of porous sandstone rock in the Ross Desert (Antarctica) depend upon a precarious equilibrium of biological, geological and climatic factors. Any unfavourable change in external conditions can result in the death and disappearance of microscopic organisms, and this may be followed by trace microfossil formation. The sequence of events leading to the extinction of life in the Antarctic desert is considered to be a terrestrial analogue of the disappearance of possible life on early Mars. The present paper reviews the current state of knowledge on the endolithic microorganisms of the Ross Desert with particular reference to their decay and fossilisation processes. Ideas for in situ further research on this microbial ecosystem are also proposed, including several new microscopy techniques such as CLSM, LTSEM, SEM-BSE and EDS. Preliminary images are presented and it is proposed that, for the first time, such techniques will permit the in situ study of the ecology of Antarctic lithobiontic microorganisms and the identification and characterisation of fossilised traces of past life.</t>
  </si>
  <si>
    <t>Univ Lleida, Serv Microscopia Elect, Lleida 25198, Spain; CSIC, Ctr Ciencias Medioambientales, E-28006 Madrid, Spain</t>
  </si>
  <si>
    <t>Universitat de Lleida; Consejo Superior de Investigaciones Cientificas (CSIC); CSIC - Centro de Ciencias Medioambientales (CCMA)</t>
  </si>
  <si>
    <t>Wierzchos, J (corresponding author), Univ Lleida, Serv Microscopia Elect, C Rovira Roure 44, Lleida 25198, Spain.</t>
  </si>
  <si>
    <t>Ascaso, Carmen/F-5369-2011; Wierzchos, Jacek/F-7036-2011</t>
  </si>
  <si>
    <t>Ascaso, Carmen/0000-0001-9665-193X; Wierzchos, Jacek/0000-0003-3084-3837</t>
  </si>
  <si>
    <t>10.1007/s003000100296</t>
  </si>
  <si>
    <t>WOS:000172275100009</t>
  </si>
  <si>
    <t>Bock, C; Sartoris, FJ; Wittig, RM; Pörtner, HO</t>
  </si>
  <si>
    <t>Temperature-dependent pH regulation in stenothermal Antarctic and eurythermal temperate eelpout (Zoarcidae):: an in-vivo NMR study</t>
  </si>
  <si>
    <t>ENERGY-METABOLISM; SPECTROSCOPY; MUSCLE; RECOVERY; P-31-NMR</t>
  </si>
  <si>
    <t>Temperature-dependent adjustments of intracellular pH are thought to play a major role in the maintenance of protein function. Comparative studies were carried out in two species from the same fish family (Zoarcidae), the stenothermal Antarctic eelpout (Pachycara brachycephalum) and the eurythermal eelpout (Zoarces vivparus), to find out whether pH regulation is modified by temperature in the closely related species and to what extent the respective pattern differs between eurytherms and stenotherms. Previous invasive studies had compared individual animals sampled at various temperatures and suggested that a decrease in intracellular pH (pHi) values occurs at rising temperatures, as predicted by the alpha-stat hypothesis of acid-base regulation. The present study used non-invasive in vivo P-31-NMR spectroscopy in non-anaesthetized, unrestrained fish for long-term online recordings in individual specimens. Control spectra obtained at T=0 degreesC for P. brachycephalum and at 12 degreesC for Z. viviparus indicated low stress conditions, as well as a high stability of energy and acid-base status over time periods longer than I week. Temperature changes had no influence on the concentration of high-energy phosphates like phosphocreatine or ATP. Temperature-induced pH changes were monitored continuously in a range between 0 and 6 degreesC for polar, and 12 and 18 degreesC for temperate eelpout. A pHi change of around -0.015 pH units/degreesC was observed within both species, in accordance with the alpha-stat hypothesis; however, extrapolation to the same temperature revealed different set points of pH regulation in the two species. These findings confirm that an alpha-stat pattern of pH regulation can be found in stenothermal Antarctic animals, at set points deviating from an alpha-stat pattern, however, in a between-species comparison.</t>
  </si>
  <si>
    <t>Alfred Wegener Inst Polar &amp; Marine Res, D-27568 Bremerhaven, Germany</t>
  </si>
  <si>
    <t>Helmholtz Association; Alfred Wegener Institute, Helmholtz Centre for Polar &amp; Marine Research</t>
  </si>
  <si>
    <t>Alfred Wegener Inst Polar &amp; Marine Res, Columbusstr, D-27568 Bremerhaven, Germany.</t>
  </si>
  <si>
    <t>cbock@awi-bremerhaven.de</t>
  </si>
  <si>
    <t>Pörtner, Hans-O./ISU-9397-2023; Pörtner, Hans-O./K-9429-2016; Bock, Christian/B-4421-2017</t>
  </si>
  <si>
    <t>Pörtner, Hans-O./0000-0001-6535-6575; Bock, Christian/0000-0003-0052-3090; Sartoris, Franz-Josef/0000-0001-7228-3220</t>
  </si>
  <si>
    <t>10.1007/s003000100298</t>
  </si>
  <si>
    <t>Green Submitted</t>
  </si>
  <si>
    <t>WOS:000172275100010</t>
  </si>
  <si>
    <t>Grootes, PM; Steig, EJ; Stuiver, M; Waddington, ED; Morse, DL</t>
  </si>
  <si>
    <t>The Taylor dome antarctic 18O record and globally synchronous changes in climate</t>
  </si>
  <si>
    <t>QUATERNARY RESEARCH</t>
  </si>
  <si>
    <t>Antarctica; Taylor Dome; ice core; oxygen isotope; climate change; thermohaline circulation</t>
  </si>
  <si>
    <t>LAST GLACIAL PERIOD; NORTH-ATLANTIC OCEAN; YOUNGER DRYAS EVENT; SEA-LEVEL RECORD; ICE-CORE; GREENLAND ICE; NORWEGIAN SEA; RAPID CHANGES; DEGLACIATION; PAST</t>
  </si>
  <si>
    <t>The O-18/O-16 profile of a 554-m long ice core through Taylor Dome, Antarctica, shows the climate variability of the last glacial-interglacial cycle in detail and extends at least another full cycle. Taylor Dome shares the main features of the Vostok record, including the early climatic optimum with later cool phase of the last interglacial period in Antarctica. Taylor Dome delta O-18 fluctuations are more abrupt and larger than those at Vostok and Byrd Station, although still less pronounced than those of the Greenland GISP2 and GRIP records. The influence of the Atlantic thermohaline circulation on regional ocean heat transport explains the partly North Atlantic character of this Antarctic record. Under full glacial climate (marine isotope stage 4, late stage 3, and stage 2), this marine influence diminished and Taylor Dome became more like Vostok. Varying degrees of marine influence produce climate heterogeneity within Antarctica, which may account for conflicting evidence regarding the relative phasing of Northern and Southern Hemisphere climate change. (C) 2001 University of Washington.</t>
  </si>
  <si>
    <t>Univ Washington, Dept Earth &amp; Space Sci, Seattle, WA 98195 USA; Univ Washington, Quaternary Res Ctr, Seattle, WA 98195 USA; Univ Kiel, Leibniz Lab, D-24118 Kiel, Germany</t>
  </si>
  <si>
    <t>University of Washington; University of Washington Seattle; University of Washington; University of Washington Seattle; University of Kiel</t>
  </si>
  <si>
    <t>Univ Kiel, Leibniz Lab, D-24118 Kiel, Germany.</t>
  </si>
  <si>
    <t>pgrootes@leibniz.uni-kiel.de</t>
  </si>
  <si>
    <t>Grootes, Pieter M/F-4952-2011; Nadeau, Marie-Josee/B-5084-2010; /G-9088-2015</t>
  </si>
  <si>
    <t>Grootes, Pieter/0000-0003-4265-3168; Nadeau, Marie-Josee/0000-0001-9616-5632; /0000-0002-8191-5549</t>
  </si>
  <si>
    <t>32 AVENUE OF THE AMERICAS, NEW YORK, NY 10013-2473 USA</t>
  </si>
  <si>
    <t>0033-5894</t>
  </si>
  <si>
    <t>1096-0287</t>
  </si>
  <si>
    <t>QUATERNARY RES</t>
  </si>
  <si>
    <t>Quat. Res.</t>
  </si>
  <si>
    <t>10.1006/qres.2001.2276</t>
  </si>
  <si>
    <t>493FU</t>
  </si>
  <si>
    <t>WOS:000172212000001</t>
  </si>
  <si>
    <t>Winograd, IJ</t>
  </si>
  <si>
    <t>The magnitude and proximate cause of ice-sheet growth since 35,000 yr BP</t>
  </si>
  <si>
    <t>Northern Hemisphere ice sheets; ice-sheet growth; sea-surface temperature; latest Wisconsinan; latest Pleistocene; ice ages</t>
  </si>
  <si>
    <t>SUBPOLAR NORTH-ATLANTIC; QUATERNARY SEA-LEVEL; GULF ST-VINCENT; MERIDIONAL TEMPERATURE; SALINITY GRADIENTS; LAST GLACIATION; ANTARCTIC ICE; DEEP-SEA; OCEAN; CLIMATE</t>
  </si>
  <si>
    <t>The magnitude of late Wisconsinan (post-35,000 yr B.P.) ice-sheet growth in the Northern Hemisphere is not well known. Ice volume at similar to 35,000 yr B.P. may have been as little as 20% or as much as 70% of the volume present at the last glacial maximum (LGM). A conservative evaluation of glacial-geologic, sea level, and benthic delta O-18 data indicates that ice volume at similar to 35,000 yr B.P. was approximately 50% of that extant at the LGM (similar to 20,000 yr B.P.); that is, it doubled in about 15,000 yr. On the basis of literature for the North Atlantic and a sea-surface temperature (SST) data compilation, it appears that this rapid growth may have been forced by low-to-mid-latitude SST warming in both the Atlantic and Pacific Oceans, with attendant increased moisture transport to high latitudes. The SST ice-sheet growth notion also explains the apparent synchroneity of late Wisconsinan mountain glaciation in both hemispheres.</t>
  </si>
  <si>
    <t>US Geol Survey, Natl Ctr 432, Reston, VA 20192 USA</t>
  </si>
  <si>
    <t>United States Department of the Interior; United States Geological Survey</t>
  </si>
  <si>
    <t>Winograd, IJ (corresponding author), US Geol Survey, Natl Ctr 432, Reston, VA 20192 USA.</t>
  </si>
  <si>
    <t>10.1006/qres.2001.2272</t>
  </si>
  <si>
    <t>WOS:000172212000002</t>
  </si>
  <si>
    <t>Cofaigh, CO; Dowdeswell, JA; Pudsey, CJ</t>
  </si>
  <si>
    <t>Late quaternary iceberg rafting along the Antarctic Peninsula continental rise and in the Weddell and Scotia Seas</t>
  </si>
  <si>
    <t>Antarctic Peninsula; Weddell and Scotia Seas; ice-rafted debris; Antarctic Ice Sheet; Quaternary</t>
  </si>
  <si>
    <t>PLEISTOCENE-HOLOCENE RETREAT; ICE-SHEET SYSTEM; NORTH-ATLANTIC; DEPOSITIONAL FACIES; CIRCUMPOLAR CURRENT; SOUTHERN-OCEAN; ROSS SEA; MARGIN; WEST; SEDIMENTATION</t>
  </si>
  <si>
    <t>Sediment cores from the continental rise west of the Antarctic Peninsula and the northern Weddell and Scotia Seas were investigated for their ice-rafted debris (IRD) content by lithofacies logging and counting of particles &gt;0.2 cm from core x-radiographs. The objective of the study was to determine if there are iceberg-rafted units similar to the Heinrich layers of the North Atlantic that might record periodic, widespread catastrophic collapse of basins within the Antarctic Ice Sheet during the Quaternary. Cores from the Antarctic Peninsula margin contain prominent IRD-rich units, with maximum IRD concentrations in oxygen isotope stages 1, 5, and 7. However, the greater concentration of IRD in interglacial stages is the result of low sedimentation rates and current winnowing, rather than regional-scale episodes of increased iceberg rafting. This is also supported by markedly lower mass accumulation rates (MAR) during interglacial periods versus glacial periods. Furthermore, thinner IRD layers within isotope stages 2-4 and 6 cannot be correlated between individual cores along the margin. This implies that the ice sheet over the Antarctic Peninsula did not undergo widespread catastrophic collapse along its western margin during the late Quaternary (isotope stages 1-7). Sediment cores from the Weddell and Scotia Seas are characterized by low IRD concentrations throughout, and the IRD signal generally appears to be of limited regional significance with few strong peaks that can be correlated between cores. Tentatively, this argues against pervasive, rapid ice-sheet collapse around the Weddell embayment over the last few glacial cycles. (C) 2001 University of Washington.</t>
  </si>
  <si>
    <t>Univ Bristol, Sch Geog Sci, Bristol Glaciol Ctr, Bristol BS8 1SS, Avon, England; British Antarctic Survey, NERC, Cambridge CB3 0ET, England</t>
  </si>
  <si>
    <t>University of Bristol; UK Research &amp; Innovation (UKRI); Natural Environment Research Council (NERC); NERC British Antarctic Survey</t>
  </si>
  <si>
    <t>Univ Bristol, Sch Geog Sci, Bristol Glaciol Ctr, Bristol BS8 1SS, Avon, England.</t>
  </si>
  <si>
    <t>Colm.OCofaigh@bristol.ac.uk</t>
  </si>
  <si>
    <t>Dowdeswell, Julian/0000-0003-1369-9482</t>
  </si>
  <si>
    <t>10.1006/qres.2001.2267</t>
  </si>
  <si>
    <t>WOS:000172212000003</t>
  </si>
  <si>
    <t>Behling, H; Negrelle, RRB</t>
  </si>
  <si>
    <t>Tropical rain forest and climate dynamics of the Atlantic lowland, Southern Brazil, during the late Quaternary</t>
  </si>
  <si>
    <t>Brazil; late Quaternary; pollen; tropical Atlantic rain forest; Araucaria forest; grassland</t>
  </si>
  <si>
    <t>FIRE HISTORY; VEGETATION</t>
  </si>
  <si>
    <t>Palynological analysis of a core from the Atlantic rain forest region in Brazil provides unprecedented insight into late Quaternary vegetational and climate dynamics within this southern tropical lowland. The 576-cm-long sediment core is from a former beach-ridge valley, located 3 kin inland from the Atlantic Ocean. Radiocarbon dates suggest that sediment deposition began prior to 35,000 C-14 yr B.P. Between ca. 37,500 and ca. 27,500 C-14 yr B.P. and during the last glacial maximum (LGM; ca. 27,500 to ca. 14,500 14C yr B.P.), the coastal rain forest was replaced by grassland and patches of cold-adapted forest. Tropical trees, such as Alchornea, Moraceae/Urticaceae, and Arecaceae, were almost completely absent during the LGM. Furthermore, their distributions were shifted at least 750 km further north, suggesting a cooling between 3 degreesC and 7 degreesC and a strengthening of Antarctic cold fronts during full-glacial times. A depauperate tropical rain forest developed as part of a successional sequence after ca. 12,300 C-14 yr B.P. There is no evidence that Araucaria trees occurred in the Atlantic lowland during glacial times. The rain forest was disturbed by marine incursions during the early Holocene period until ca. 6100 C-14 yr B.P., as indicated by the presence of microforaminifera. A closed Atlantic rain forest then developed at the study site. (C) 2001 University of Washington.</t>
  </si>
  <si>
    <t>Ctr Trop Marine Ecol, D-28359 Bremen, Germany; Univ Fed Parana, Dept Bot, BR-81531970 Curitiba, Parana, Brazil</t>
  </si>
  <si>
    <t>Leibniz Zentrum fur Marine Tropenforschung (ZMT); Universidade Federal do Parana</t>
  </si>
  <si>
    <t>Behling, H (corresponding author), Ctr Trop Marine Ecol, Fahrenbeitstr 6, D-28359 Bremen, Germany.</t>
  </si>
  <si>
    <t>Negrelle, Raquel/F-8961-2013</t>
  </si>
  <si>
    <t>Negrelle, Raquel/0000-0003-3725-3426</t>
  </si>
  <si>
    <t>ACADEMIC PRESS INC</t>
  </si>
  <si>
    <t>10.1006/qres.2001.2264</t>
  </si>
  <si>
    <t>WOS:000172212000009</t>
  </si>
  <si>
    <t>Alves, FD; Jardim, WD; Cadore, S; Arruda, MAZ; Smichowski, P; Marrero, J</t>
  </si>
  <si>
    <t>Use of slurry sampling in the determination of Cu and Zn in antarctic limpets and Ni in river sediment by flame atomic absorption spectrometry</t>
  </si>
  <si>
    <t>QUIMICA NOVA</t>
  </si>
  <si>
    <t>Portuguese</t>
  </si>
  <si>
    <t>antarctic limpets; river sediment; flame atomic absorption spectrometry; slurry</t>
  </si>
  <si>
    <t>MANGANESE; SOILS; ZINC; LEAD; ATOMIZATION; SELENIUM; IRON</t>
  </si>
  <si>
    <t>In order to demonstrate the feasibility of slurry sampling for environmental studies, different methodologies were developed for Cu and Zn in antarctic limpets and Ni in river sediment with FAAS detection. Studies focusing particle size, acid concentration, slurry stability, selectivity, among others were carried out in order to define the better conditions for slurry analysis. A study related to the depth profile for Ni in the Atibaia River sediment was made after optimization conditions for this element. For accuracy check, certified reference material was used as well as decomposition with microwave oven.</t>
  </si>
  <si>
    <t>Univ Estadual Campinas, Dept Quim Analit, BR-13083970 Campinas, SP, Brazil; Comis Nacl Energia Atom, Unidad Actividad Quim, Ctr Atom Constituyentes, RA-1429 Buenos Aires, DF, Argentina; Comis Nacl Energia Atom, Unidad Actividad Geol, Ctr Atom Ezeiza, RA-1429 Buenos Aires, DF, Argentina</t>
  </si>
  <si>
    <t>Universidade Estadual de Campinas; Comision Nacional de Energia Atomica (CNEA); Comision Nacional de Energia Atomica (CNEA)</t>
  </si>
  <si>
    <t>Univ Estadual Campinas, Dept Quim Analit, CP 6154, BR-13083970 Campinas, SP, Brazil.</t>
  </si>
  <si>
    <t>zezzi@iqm.unicamp.br</t>
  </si>
  <si>
    <t>Cadore, Solange/S-9880-2019; Arruda, Marco Aurélio Zezzi/W-9203-2019; Cadore, Solange/C-7567-2012</t>
  </si>
  <si>
    <t>SOC BRASILEIRA QUIMICA</t>
  </si>
  <si>
    <t>SAO PAULO</t>
  </si>
  <si>
    <t>CAIXA POSTAL 26037, 05599-970 SAO PAULO, BRAZIL</t>
  </si>
  <si>
    <t>0100-4042</t>
  </si>
  <si>
    <t>1678-7064</t>
  </si>
  <si>
    <t>QUIM NOVA</t>
  </si>
  <si>
    <t>Quim. Nova</t>
  </si>
  <si>
    <t>Chemistry, Multidisciplinary</t>
  </si>
  <si>
    <t>490FM</t>
  </si>
  <si>
    <t>WOS:000172039800009</t>
  </si>
  <si>
    <t>Passchier, S</t>
  </si>
  <si>
    <t>Provenance of the Sirius Group and related Upper Cenozoic glacial deposits from the Transantarctic Mountains, Antarctica: relation to landscape evolution and ice-sheet drainage</t>
  </si>
  <si>
    <t>SEDIMENTARY GEOLOGY</t>
  </si>
  <si>
    <t>provenance; heavy mineral analysis; X-ray diffraction analysis; Sirius Group; East Antarctica; glaciation; Cenozoic</t>
  </si>
  <si>
    <t>SOUTHERN VICTORIA LAND; HEAVY-MINERAL ASSEMBLAGES; ROSS EMBAYMENT; DRY VALLEYS; RIFT FLANK; PLIOCENE; CLIMATE; UPLIFT; RECORD; DIATOMS</t>
  </si>
  <si>
    <t>This study uses bulk X-ray diffraction (XRD), heavy mineral analysis and analysis of detrital modes of the Sirius Group and related Upper Cenozoic deposits to evaluate their provenance. The data suggest that deposition of the Sirius Group occurred as a result of long-term glacial denudation of the Transantarctic Mountains. Such a conclusion is in contrast with the traditional view of deposition on a pre-existing high relief glacial topography during one relatively short-term phase of glacial expansion by the East Antarctic Ice Sheet. Two petrofacies are distinguished, which have different geomorphological settings and paleo-ice flow directions. One petrofacies includes much material from the higher elevated sedimentary sequences of the Transantarctic Mountains and represents overriding of the mountains and deposition of part of the Sirius Group during or after the late Oligocene to early Miocene. The second petrofacies is characterized by a large input from crystalline basement sources and represents active erosion and deposition in glacial troughs during the Neogene. The second petrofacies of the Sirius Group shows similarities to the record from Dry Valley Drilling Project core 11 (DVDP-11), which indicates that East Antarctic ice was last flowing through the Dry Valleys in the late Miocene to early Pliocene. (C) 2001 Elsevier Science B.V. All rights reserved.</t>
  </si>
  <si>
    <t>Ohio State Univ, Dept Geol Sci, Columbus, OH 43210 USA; Ohio State Univ, Byrd Polar Res Ctr, Columbus, OH 43210 USA</t>
  </si>
  <si>
    <t>University System of Ohio; Ohio State University; University System of Ohio; Ohio State University</t>
  </si>
  <si>
    <t>Ohio State Univ, Dept Geol Sci, 130 Orton Hall,155 S Oval, Columbus, OH 43210 USA.</t>
  </si>
  <si>
    <t>passchier.1@osu.edu</t>
  </si>
  <si>
    <t>Passchier, Sandra/GYU-2381-2022; Passchier, Sandra/B-1993-2008; Passchier, Sandra/AAQ-2243-2021</t>
  </si>
  <si>
    <t>Passchier, Sandra/0000-0001-7204-7025; Passchier, Sandra/0000-0001-7204-7025</t>
  </si>
  <si>
    <t>0037-0738</t>
  </si>
  <si>
    <t>1879-0968</t>
  </si>
  <si>
    <t>SEDIMENT GEOL</t>
  </si>
  <si>
    <t>Sediment. Geol.</t>
  </si>
  <si>
    <t>10.1016/S0037-0738(01)00064-1</t>
  </si>
  <si>
    <t>496MR</t>
  </si>
  <si>
    <t>WOS:000172399800004</t>
  </si>
  <si>
    <t>von der Dunk, FG</t>
  </si>
  <si>
    <t>Space for celestial symphonies? Towards the establishment of international radio quiet zones</t>
  </si>
  <si>
    <t>SPACE POLICY</t>
  </si>
  <si>
    <t>The growth of low- and medium-Earth orbit mobile satellite communications poses a threat to radio astronomers which could be mitigated by the establishment of international radio quiet zones (IRQZs), where communications traffic is managed (not eliminated) to allow radio astronomy to continue. Using the prototype of national such zones in the USA, this article explains how the system would work and discusses the international legal parameters that would bound it, drawing on current aerospace, outer space and high seas legislation. Precedents for an IRQZ-Exclusive Economic Zones, denuclearised zones and the Antarctic regime-are also examined. (C) 2001 Elsevier Science Ltd. All rights reserved.</t>
  </si>
  <si>
    <t>Leiden Univ, Int Inst Air &amp; Space Law, NL-2311 XK Leiden, Netherlands</t>
  </si>
  <si>
    <t>Leiden University - Excl LUMC; Leiden University</t>
  </si>
  <si>
    <t>von der Dunk, FG (corresponding author), Leiden Univ, Int Inst Air &amp; Space Law, Hugo Grootstr 27A, NL-2311 XK Leiden, Netherlands.</t>
  </si>
  <si>
    <t>ELSEVIER SCI LTD</t>
  </si>
  <si>
    <t>THE BOULEVARD, LANGFORD LANE, KIDLINGTON, OXFORD OX5 1GB, OXON, ENGLAND</t>
  </si>
  <si>
    <t>0265-9646</t>
  </si>
  <si>
    <t>Space Policy</t>
  </si>
  <si>
    <t>10.1016/S0265-9646(01)00041-8</t>
  </si>
  <si>
    <t>International Relations; Social Sciences, Interdisciplinary</t>
  </si>
  <si>
    <t>Social Science Citation Index (SSCI)</t>
  </si>
  <si>
    <t>International Relations; Social Sciences - Other Topics</t>
  </si>
  <si>
    <t>506JQ</t>
  </si>
  <si>
    <t>WOS:000172967100006</t>
  </si>
  <si>
    <t>Tao, GH; Yamada, R; Fujikawa, Y; Kudo, A; Zheng, J; Fisher, DA; Koerner, RM</t>
  </si>
  <si>
    <t>Determination of trace amounts of heavy metals in arctic ice core samples using inductively coupled plasma mass spectrometry</t>
  </si>
  <si>
    <t>TALANTA</t>
  </si>
  <si>
    <t>heavy metals; ice core; Arctic; decontamination; inductively coupled plasma mass spectrometry</t>
  </si>
  <si>
    <t>ANTARCTIC SNOW; GREENLAND ICE; LEAD; PAST; DEPOSITION; RESOLUTION; PICOGRAM</t>
  </si>
  <si>
    <t>Trace amounts of heavy metals in the ice cores from Canadian Arctic were analyzed using inductively coupled plasma mass spectrometry (ICP-MS). A custom made plastic device and ceramic knives were used to remove the contamination on the ice core surface. Ice cores could be broken into small sections (2-3 cm thick) after decontamination with the plastic device and ceramic knives. High-resolution depth profiles of various elements, i.e. As, Cd, Co, Cu, Ni, Pb, Zn and U, were thus attained. Concentrations in 518 ice core samples range from 0.1 (U) to 673.3 (Zn) pg g(-1). (C) 2001 Elsevier Science B.V. All rights reserved.</t>
  </si>
  <si>
    <t>Natl Res Inst Earth Sci &amp; Disaster Prevent, Nagaoka Inst Snow &amp; Ice Studies, Niigata 9400821, Japan; Kyoto Univ, Inst Res Reactor, Osaka 5900494, Japan; Natl Res Council Canada, Inst Chem Proc &amp; Environm Technol, Ottawa, ON K1A 0R9, Canada; Geol Survey Canada, Glaciol Sect, Ottawa, ON K1A 0E8, Canada</t>
  </si>
  <si>
    <t>National Research Institute for Earth Science &amp; Disaster Resilience; Kyoto University; National Research Council Canada; Natural Resources Canada; Lands &amp; Minerals Sector - Natural Resources Canada; Geological Survey of Canada</t>
  </si>
  <si>
    <t>Yamada, R (corresponding author), Natl Res Inst Earth Sci &amp; Disaster Prevent, Nagaoka Inst Snow &amp; Ice Studies, Niigata 9400821, Japan.</t>
  </si>
  <si>
    <t>0039-9140</t>
  </si>
  <si>
    <t>Talanta</t>
  </si>
  <si>
    <t>OCT 31</t>
  </si>
  <si>
    <t>10.1016/S0039-9140(01)00509-4</t>
  </si>
  <si>
    <t>Chemistry, Analytical</t>
  </si>
  <si>
    <t>511WQ</t>
  </si>
  <si>
    <t>WOS:000173288900012</t>
  </si>
  <si>
    <t>Montagnat, M; Duval, P; Bastie, P; Hamelin, B; Brissaud, O; de Angelis, MT; Petit, JR; Lipenkov, VY</t>
  </si>
  <si>
    <t>High crystalline quality of large single crystals of subglacial ice above Lake Vostok (Antarctica) revealed by hard X-ray diffraction</t>
  </si>
  <si>
    <t>COMPTES RENDUS DE L ACADEMIE DES SCIENCES SERIE II FASCICULE A-SCIENCES DE LA TERRE ET DES PLANETES</t>
  </si>
  <si>
    <t>X-ray diffraction; ice monocrystals; Lake Vostok, Antarctica; abnormal grain growth</t>
  </si>
  <si>
    <t>GRAIN-GROWTH; RECRYSTALLIZATION</t>
  </si>
  <si>
    <t>X-ray diffraction experiments were carried out on large ice crystals from accreted ice above Lake Vostok, a subglacial lake lying beneath the East Antarctic ice sheet. Results indicate a surprisingly very low lattice distortion. This crystalline quality does not seem to be affected by impurities. Abnormal grain growth should occur and could explain both the large grain size and the low lattice distortion. Accreted ice is therefore supposed to be non-plastically deforming. These results should be taken into account for further studies of the permeability of accreted ice to drilling fluid present in the borehole. (C) 2001 Academie des sciences / Editions scientifiques et medicales Elsevier SAS.</t>
  </si>
  <si>
    <t>CNRS, Lab Glaciol &amp; Geophys Environm, F-38402 St Martin Dheres, France; CNRS, Spectrometrie Phys Lab, F-38402 St Martin Dheres, France; Inst Max Von Laue Paul Langevin, F-38042 Grenoble 9, France; Arctic &amp; Antarctic Res Inst, St Petersburg 199397, Russia</t>
  </si>
  <si>
    <t>Centre National de la Recherche Scientifique (CNRS); Centre National de la Recherche Scientifique (CNRS); Institut Laue-Langevin (ILL); Arctic &amp; Antarctic Research Institute</t>
  </si>
  <si>
    <t>CNRS, Lab Glaciol &amp; Geophys Environm, BP 96, F-38402 St Martin Dheres, France.</t>
  </si>
  <si>
    <t>maurine@glaciog.ufj-grenoble.fr</t>
  </si>
  <si>
    <t>Montagnat, Maurine/N-6431-2014; Lipenkov, Vladimir/Q-8262-2016</t>
  </si>
  <si>
    <t>Lipenkov, Vladimir/0000-0003-4221-5440</t>
  </si>
  <si>
    <t>ELSEVIER FRANCE-EDITIONS SCIENTIFIQUES MEDICALES ELSEVIER</t>
  </si>
  <si>
    <t>ISSY-LES-MOULINEAUX</t>
  </si>
  <si>
    <t>65 RUE CAMILLE DESMOULINS, CS50083, 92442 ISSY-LES-MOULINEAUX, FRANCE</t>
  </si>
  <si>
    <t>1251-8050</t>
  </si>
  <si>
    <t>CR ACAD SCI II A</t>
  </si>
  <si>
    <t>Comptes Rendus Acad. Sci. Ser II-A</t>
  </si>
  <si>
    <t>OCT 30</t>
  </si>
  <si>
    <t>10.1016/S1251-8050(01)01667-6</t>
  </si>
  <si>
    <t>499MR</t>
  </si>
  <si>
    <t>WOS:000172575400001</t>
  </si>
  <si>
    <t>Ferraccioli, F; Coren, F; Bozzo, E; Zanolla, C; Gandolfi, S; Tabacco, I; Frezzotti, M</t>
  </si>
  <si>
    <t>Rifted(?) crust at the East Antarctic Craton margin:: gravity and magnetic interpretation along a traverse across the Wilkes Subglacial Basin region</t>
  </si>
  <si>
    <t>geophysical surveys; Transantarctic Mountains; riftzones crust; Ferrar Group; tholeiite; East Antarctica</t>
  </si>
  <si>
    <t>TRANSANTARCTIC MOUNTAINS; VICTORIA-LAND; RIFT SYSTEM; ROSS SEA; ANOMALIES; UPLIFT</t>
  </si>
  <si>
    <t>Early geophysical studies hypothesized a continental rift structure beneath the Wilkes Subglacial Basin. Recent models favour a flexural origin for the basin linked to Transantarctic Mountains uplift and to East Antarctic Craton lithospheric rigidity. Flexural modelling predicts crustal thickening beneath the basin. Gravity modelling along the International Trans-Antarctic Scientific Expedition traverse (1998/99), however, reveals crustal thinning beneath the basin. At 75 degreesS the crust thins from 37 km beneath the Transantarctic Mountains to 31 +/- 2 km beneath the Wilkes Basin. The western flank of the basin features a sharp magnetic break. This signature may arise from a fault separating highly magnetic Precambrian craton crust from weakly magnetic Neoproterozoic(?) crust. Much later crustal extension may have focussed along the craton margin, The eastern flank of the Wilkes Basin exhibits a prominent aeromagnetic signature. Potential field modelling predicts 1-4 km thick sedimentary infill within the Wilkes extended terrane, interpreted mainly as Beacon Supergroup intruded by Jurassic Ferrar tholeiites. The adjacent Adventure Subglacial Trench is a narrow rift basin with 25 +/- 5 km thick crust and a 10 +/- 4 km sedimentary infill. (C) 2001 Elsevier Science BN. All rights reserved.</t>
  </si>
  <si>
    <t>Univ Genoa, DIPTERIS, I-16132 Genoa, Italy; Ist Nazl Oceanog &amp; Geofis Sperimentale, Trieste, Italy; Univ Bologna, DISTART, Bologna, Italy; Univ Milan, Dipartimento Sci Terra, Milan, Italy; ENEA, Rome, Italy</t>
  </si>
  <si>
    <t>University of Genoa; Istituto Nazionale di Oceanografia e di Geofisica Sperimentale; University of Bologna; University of Milan; Italian National Agency New Technical Energy &amp; Sustainable Economics Development</t>
  </si>
  <si>
    <t>Ferraccioli, F (corresponding author), Univ Genoa, DIPTERIS, Corso Europa 26, I-16132 Genoa, Italy.</t>
  </si>
  <si>
    <t>FREZZOTTI, Massimo/AAK-7275-2020; Gandolfi, Stefano/A-4892-2016</t>
  </si>
  <si>
    <t>FREZZOTTI, Massimo/0000-0002-2461-2883; Gandolfi, Stefano/0000-0003-2096-5670; COREN, Franco/0000-0002-7160-1001; Ferraccioli, Fausto/0000-0002-9347-4736</t>
  </si>
  <si>
    <t>10.1016/S0012-821X(01)00459-9</t>
  </si>
  <si>
    <t>488BM</t>
  </si>
  <si>
    <t>WOS:000171914500012</t>
  </si>
  <si>
    <t>Watterson, IG</t>
  </si>
  <si>
    <t>Zonal wind vacillation and its interaction with the ocean: Implications for interannual variability and predictability</t>
  </si>
  <si>
    <t>ANTARCTIC CIRCUMPOLAR WAVE; DECADAL VARIABILITY; PART I; MODEL; MECHANISM; PRECIPITATION; CIRCULATION</t>
  </si>
  <si>
    <t>The influence of air-sea interaction on the vacillation of the southern midlatitude zonal mean zonal winds is explored by comparing a 1000-year simulation of a coupled atmosphere-ocean general circulation model with 500-year simulations of the atmospheric model with either a simple mixed layer ocean or specified sea surface temperatures (SSTs). In the interactive models the zonally averaged SST responds, in a dipole pattern, to the surface heat fluxes perturbed by the vacillation, with ocean dynamics modifying the pattern, particularly around 60 degreesS. The feedback of the ocean on the atmosphere is most prominent in the lower tropospheric temperatures, but it is also significant on the interannual and longer timescales in the tropospheric zonal winds. Interdecadal variability of the 500-hPa wind index is increased 50% by the ocean. However, the structure of the wind anomaly differs only a little as the timescale increases. A simple stochastic model of the system is able to reproduce the index statistics over timescales from months to decades. Strong relationships exist between the winds, SSTs, and precipitation anomalies in both annual and 4-year means. However, the predictability of temperatures and rainfall, using either wind or SST indices, is limited by the small persistence of the wind anomalies and the weak influence of the SSTs. Relationships between time-filtered indices and the following annual means are substantial, comparable to results recently found for the Antarctic Circumpolar Wave. However, these are not realizable as predictions, prompting caution with regard to predictability based on Southern Ocean temperatures.</t>
  </si>
  <si>
    <t>CSIRO, Aspendale, Vic 3195, Australia</t>
  </si>
  <si>
    <t>Commonwealth Scientific &amp; Industrial Research Organisation (CSIRO)</t>
  </si>
  <si>
    <t>Watterson, IG (corresponding author), CSIRO, PB 1, Aspendale, Vic 3195, Australia.</t>
  </si>
  <si>
    <t>Ian.Watterson@dar.csiro.au</t>
  </si>
  <si>
    <t>Watterson, Ian G./A-1690-2012</t>
  </si>
  <si>
    <t>OCT 27</t>
  </si>
  <si>
    <t>D20</t>
  </si>
  <si>
    <t>10.1029/2000JD000221</t>
  </si>
  <si>
    <t>489CG</t>
  </si>
  <si>
    <t>WOS:000171974000002</t>
  </si>
  <si>
    <t>Church, JA</t>
  </si>
  <si>
    <t>Climate change - How fast are sea levels rising?</t>
  </si>
  <si>
    <t>SCIENCE</t>
  </si>
  <si>
    <t>Antarctic CRC &amp; CSIRO Marine Res, Hobart, Tas 7000, Australia</t>
  </si>
  <si>
    <t>Church, JA (corresponding author), Antarctic CRC &amp; CSIRO Marine Res, Hobart, Tas 7000, Australia.</t>
  </si>
  <si>
    <t>Church, John A/A-1541-2012</t>
  </si>
  <si>
    <t>Church, John A/0000-0002-7037-8194</t>
  </si>
  <si>
    <t>AMER ASSOC ADVANCEMENT SCIENCE</t>
  </si>
  <si>
    <t>1200 NEW YORK AVE, NW, WASHINGTON, DC 20005 USA</t>
  </si>
  <si>
    <t>0036-8075</t>
  </si>
  <si>
    <t>Science</t>
  </si>
  <si>
    <t>OCT 26</t>
  </si>
  <si>
    <t>10.1126/science.1065714</t>
  </si>
  <si>
    <t>487AP</t>
  </si>
  <si>
    <t>WOS:000171851800032</t>
  </si>
  <si>
    <t>Naish, TR; Woolfe, KJ; Barrett, PJ; Wilson, GS; Atkins, C; Bohaty, SM; Bücker, CJ; Claps, M; Davey, FJ; Dunbar, GB; Dunn, AG; Fielding, CR; Florindo, F; Hannah, MJ; Harwood, DM; Henrys, SA; Krissek, LA; Lavelle, M; van der Meer, J; McIntosh, WC; Niessen, F; Passchier, S; Powell, RD; Roberts, AP; Sagnotti, L; Scherer, RP; Strong, CP; Talarico, F; Verosub, KL; Villa, G; Watkins, DK; Webb, PN; Wonik, T</t>
  </si>
  <si>
    <t>Orbitally induced oscillations in the East Antarctic ice sheet at the Oligocene/Miocene boundary</t>
  </si>
  <si>
    <t>ASTRONOMICAL CALIBRATION; GLACIATION; ISOTOPES; CLIMATE; MARGIN; BASIN</t>
  </si>
  <si>
    <t>Between 34 and 15 million years (Myr) ago, when planetary temperatures were 3-4 degreesC warmer than at present and atmospheric CO2 concentrations were twice as high as today(1), the Antarctic ice sheets may have been unstable(2-7). Oxygen isotope records from deep-sea sediment cores suggest that during this time fluctuations in global temperatures and high-latitude continental ice volumes were influenced by orbital cycles(8-10). But it has hitherto not been possible to calibrate the inferred changes in ice volume with direct evidence for oscillations of the Antarctic ice sheets(11). Here we present sediment data from shallow marine cores in the western Ross Sea that exhibit well dated cyclic variations, and which link the extent of the East Antarctic ice sheet directly to orbital cycles during the Oligocene/Miocene transition (24.1-23.7 Myr ago). Three rapidly deposited glaci-marine sequences are constrained to a period of less than 450 kyr by our age model, suggesting that orbital influences at the frequencies of obliquity (40 kyr) and eccentricity (125 kyr) controlled the oscillations of the ice margin at that time. An erosional hiatus covering 250 kyr provides direct evidence for a major episode of global cooling and ice-sheet expansion about 23.7 Myr ago, which had previously been inferred from oxygen isotope data (Mil event(5)).</t>
  </si>
  <si>
    <t>Inst Geol &amp; Nucl Sci, Lower Hutt, New Zealand; James Cook Univ N Queensland, Sch Earth Sci, Townsville, Qld 4811, Australia; Victoria Univ Wellington, Antarctic Res Ctr, Wellington, New Zealand; Univ Oxford, Dept Earth Sci, Oxford OX1 3PR, England; Univ Nebraska, Dept Geosci, Lincoln, NE 68588 USA; Inst Geowissensch Gemeinschaftsaufgaben, D-30655 Hannover, Germany; Univ Ancona, Ist Sci Mare, I-60131 Ancona, Italy; Natl Inst Water &amp; Atmospher Res, Wellington, New Zealand; Univ Queensland, Dept Earth Sci, Brisbane, Qld 4072, Australia; Ist Nazl Geofis &amp; Vulcanol, I-00143 Rome, Italy; Univ Southampton, Sch Ocean &amp; Earth Sci, Southampton Oceanog Ctr, Southampton SO14 3XH, Hants, England; Ohio State Univ, Dept Geol Sci, Columbus, OH 43210 USA; British Antarctic Survey, Cambridge CB3 OET, England; Univ Amsterdam, Fys Geog &amp; Bodemkundig Lab, NL-1018 VZ Amsterdam, Netherlands; New Mexico Inst Min &amp; Technol, Socorro, NM 87801 USA; No Illinois Univ, Dept Geol &amp; Environm Geosci, De Kalb, IL 60115 USA; Univ Siena, Dipartimento Sci Terra, I-53100 Siena, Italy; Univ Calif Davis, Dept Geol, Davis, CA 95616 USA; Univ Parma, Dipartimento Sci Terra, I-43100 Parma, Italy; Ohio State Univ, Byrd Polar Res Ctr, Columbus, OH 43210 USA; Alfred Wegener Inst, D-27516 Bremerhaven, Germany</t>
  </si>
  <si>
    <t>GNS Science - New Zealand; James Cook University; Victoria University Wellington; University of Oxford; University of Nebraska System; University of Nebraska Lincoln; Marche Polytechnic University; National Institute of Water &amp; Atmospheric Research (NIWA) - New Zealand; University of Queensland; Istituto Nazionale Geofisica e Vulcanologia (INGV); University of Southampton; NERC National Oceanography Centre; University System of Ohio; Ohio State University; UK Research &amp; Innovation (UKRI); Natural Environment Research Council (NERC); NERC British Antarctic Survey; University of Amsterdam; New Mexico Institute of Mining Technology; Northern Illinois University; University of Siena; University of California System; University of California Davis; University of Parma; University System of Ohio; Ohio State University; Helmholtz Association; Alfred Wegener Institute, Helmholtz Centre for Polar &amp; Marine Research</t>
  </si>
  <si>
    <t>Inst Geol &amp; Nucl Sci, POB 30368, Lower Hutt, New Zealand.</t>
  </si>
  <si>
    <t>t.naish@gns.cri.nz</t>
  </si>
  <si>
    <t>Florindo, Fabio/M-1459-2019; Florindo, Fabio/AAU-2548-2021; Atkins, cliff B/E-9458-2011; Sagnotti, Leonardo/AFM-3916-2022; Roberts, Andrew P/E-6422-2010; Passchier, Sandra/AAQ-2243-2021; Wilson, Gary S/B-3803-2010; Watkins, David/AAJ-2571-2021; Henrys, Stuart/ABD-7378-2020; Florindo, Fabio/F-4119-2010; Passchier, Sandra/B-1993-2008; Hannah, Michael/H-1083-2015; talarico, franco/G-9472-2012</t>
  </si>
  <si>
    <t>Florindo, Fabio/0000-0002-6058-9748; Sagnotti, Leonardo/0000-0003-3944-201X; Passchier, Sandra/0000-0001-7204-7025; Henrys, Stuart/0000-0002-7164-5274; Florindo, Fabio/0000-0002-6058-9748; Passchier, Sandra/0000-0001-7204-7025; Roberts, Andrew P./0000-0003-0566-8117; Atkins, C/0000-0002-6513-6924; Naish, Tim/0000-0002-1185-9932; Wilson, Gary/0000-0003-0025-3641; Hannah, Michael/0000-0002-2275-0086; Niessen, Frank/0000-0001-6453-0594; talarico, franco/0000-0002-7254-4301</t>
  </si>
  <si>
    <t>NATURE PUBLISHING GROUP</t>
  </si>
  <si>
    <t>MACMILLAN BUILDING, 4 CRINAN ST, LONDON N1 9XW, ENGLAND</t>
  </si>
  <si>
    <t>1476-4687</t>
  </si>
  <si>
    <t>OCT 18</t>
  </si>
  <si>
    <t>10.1038/35099534</t>
  </si>
  <si>
    <t>482ZK</t>
  </si>
  <si>
    <t>WOS:000171608000040</t>
  </si>
  <si>
    <t>Stone, EM; Tabazadeh, A; Jensen, E; Pumphrey, HC; Santee, ML; Mergenthaler, JL</t>
  </si>
  <si>
    <t>Onset, extent, and duration of dehydration in the Southern Hemisphere polar vortex</t>
  </si>
  <si>
    <t>MICROWAVE LIMB SOUNDER; ANTARCTIC STRATOSPHERIC VORTEX; WATER-VAPOR; LIDAR OBSERVATIONS; HNO3 OBSERVATIONS; CLOUDS; AEROSOL; OZONE; UARS; WINTER</t>
  </si>
  <si>
    <t>Satellite observations of water vapor and aerosol extinction along with temperature trajectory calculations are analyzed for the Southern Hemisphere winter of 1992 in order to determine the onset, extent, and duration of dehydration within the polar vortex. Our investigation uses measurements of water vapor from the Microwave Limb Sounder (MLS) and aerosol extinction from the Cryogenic Limb Array Etalon Spectrometer (CLAES), both on board the Upper Atmosphere Research Satellite (UARS). Evidence of persistent ice cloud formation, supported by temperature statistics obtained from air parcel trajectories, suggests that the onset of the dehydration process occurs between late June and early July. By late August-early September water vapor depleted areas within the vortex no longer coincide with high aerosol extinctions, indicating that severe dehydration has occurred with the irreversible removal of water vapor over vast areas. Areas with depleted levels of water vapor, below the prewinter values, persist well into November. Evidence for dehydration is found on potential temperature surfaces from 420 K (the lower limit of the MLS measurements) to 520 K (approximately 16 to 22 km). The horizontal extent of the dehydrated area at 465 K encompasses up to 35% of the total vortex area equatorward of 80 degreesS. A comparison of CLAES aerosol extinction measurements and model calculations of aerosol extinction suggests an average ice particle number concentration and size of 10(-2)-10(-3) cm(-3) and 10-30 mum, respectively. We show that the difference between the timing of the onset of dehydration found here and that in a recent analysis of Polar Ozone and Aerosol Measurement III (POAM) observations can be explained by the latitudinal sampling pattern of the POAM instrument.</t>
  </si>
  <si>
    <t>NASA, Ames Res Ctr, Moffett Field, CA 94035 USA; Lockheed Martin Adv Technol Ctr, Palo Alto, CA 94304 USA; Univ Edinburgh, Dept Meteorol, Edinburgh EH9 3JZ, Midlothian, Scotland; CALTECH, Jet Prop Lab, Pasadena, CA 91109 USA</t>
  </si>
  <si>
    <t>National Aeronautics &amp; Space Administration (NASA); NASA Ames Research Center; Lockheed Martin; University of Edinburgh; California Institute of Technology; National Aeronautics &amp; Space Administration (NASA); NASA Jet Propulsion Laboratory (JPL)</t>
  </si>
  <si>
    <t>Stone, EM (corresponding author), ASML, Wilton, CT 06897 USA.</t>
  </si>
  <si>
    <t>emstone@snet.net; atabazadeh@mail.arc.nasa.gov</t>
  </si>
  <si>
    <t>Santee, MIchelle/R-5762-2019; Pumphrey, Hugh/S-2969-2019</t>
  </si>
  <si>
    <t>Pumphrey, Hugh/0000-0003-0747-1457</t>
  </si>
  <si>
    <t>OCT 16</t>
  </si>
  <si>
    <t>D19</t>
  </si>
  <si>
    <t>10.1029/2000JD000101</t>
  </si>
  <si>
    <t>481UJ</t>
  </si>
  <si>
    <t>WOS:000171538600028</t>
  </si>
  <si>
    <t>Bodeker, GE; Scott, JC; Kreher, K; McKenzie, RL</t>
  </si>
  <si>
    <t>Global ozone trends in potential vorticity coordinates using TOMS and GOME intercompared against the Dobson network: 1978-1998</t>
  </si>
  <si>
    <t>POLAR VORTEX; MCMURDO STATION; ANTARCTIC OZONE; ARCTIC VORTEX; NEW-ZEALAND; EL-CHICHON; DEPLETION; TEMPERATURE; VARIABILITY; TRANSPORT</t>
  </si>
  <si>
    <t>Global total column ozone trends were calculated by applying a least squares regression model to five homogenized satellite data sets from November 1978 to December 1998. Drifts and offsets in the satellite data were removed through comparisons of coincident satellite overpass and ground-based Dobson spectrophotometer measurements and through intersatellite comparisons. The satellite data were remapped into a potential vorticity coordinate (equivalent latitude) before zonal means were calculated. This remapping preserves steep meridional gradients in ozone and ozone trends across the winter polar vortex boundary and thereby reveals statistically significant negative trends just poleward of the Antarctic vortex boundary (similar to 70 degreesS equivalent latitude) during May (-0.51 +/- 0.42% yr(-1) (2 sigma)), June (-0.65 +/- 0.44% yr(-1)) and July (-0.85 +/- 0.44% yr(-1)). This feature is indistinct in trends derived as a function of geographic latitude most likely as a result of the smoothing by zonal averaging across steep ozone gradients. Comparison with similar earlier analysis (November 1978 to May 1991) indicates that Antarctic ozone trends have weakened (from -3.71 +/- 1.80% yr(-1) to -2.95 +/- 0.40% yr(-1)), most likely as a result of saturation, while Arctic ozone trends are now much larger (from -1.05 +/- 0.96% yr(-1) to -1.93 +/- 0.40% yr(-1)) following severe wintertime Arctic ozone depletion in recent years. Midlatitude negative trends calculated over the longer time period are also slightly reduced.</t>
  </si>
  <si>
    <t>Natl Inst Water &amp; Atmospher Res, Lauder 9182, Central Otago, New Zealand</t>
  </si>
  <si>
    <t>National Institute of Water &amp; Atmospheric Research (NIWA) - New Zealand</t>
  </si>
  <si>
    <t>Bodeker, GE (corresponding author), Natl Inst Water &amp; Atmospher Res, Private Bag 50061, Lauder 9182, Central Otago, New Zealand.</t>
  </si>
  <si>
    <t>g.bodeker@niwa.cri.nz; j.scott@niwa.cri.nz; k.kreher@niwa.cri.nz; r.mckenzie@niwa.cri.nz</t>
  </si>
  <si>
    <t>Bodeker, Greg E/A-8870-2008</t>
  </si>
  <si>
    <t>McKenzie, Richard Lloyd/0000-0002-4484-7057; Bodeker, Gregory/0000-0003-1094-5852</t>
  </si>
  <si>
    <t>10.1029/2001JD900220</t>
  </si>
  <si>
    <t>WOS:000171538600031</t>
  </si>
  <si>
    <t>de Zafra, R; Smyshlyaev, SP</t>
  </si>
  <si>
    <t>On the formation of HNO3 in the Antarctic mid to upper stratosphere in winter</t>
  </si>
  <si>
    <t>WAVE SPECTROSCOPIC MEASUREMENTS; SULFURIC-ACID-WATER; 2-DIMENSIONAL MODEL; CONDENSATION NUCLEI; NITRIC-ACID; TRANSPORT MODEL; POLAR WINTER; SOUTH-POLE; ATMOSPHERE; AEROSOL</t>
  </si>
  <si>
    <t>We address the previously unresolved puzzle of nitric acid formation in the polar winter mid to upper stratosphere, first indicated by Limb Infrared Monitor of the Stratosphere observations in the Arctic winter of 1978-1979. Several theoretical studies over the past 2 decades have tried to reproduce these observations with varying success. More recently, the onset, altitude range, and duration of the formation process have been clarified by the Cryogenic Limb Array Etalon Spectrometer onboard UARS and by a series of ground-based observations taken at the South Pole during the Antarctic winters of 1993, 1995, and 1999. Using the Stony Brook-SSt. Petersburg two-dimensional photochemical model, we have reexplored HNO3 formation via both the ion cluster chemistry and heterogeneous chemistry on sulfate aerosols considered by earlier investigators. By including what we believe to be a realistic flux of NOy, from the mesosphere, we find that the model can generate observed mixing ratios through a combination of ion-cluster-enhanced chemistry in the upper to mid stratosphere, augmented by heterogeneous chemistry on sulfate aerosol below similar to 40 km. Results are presented which clarify the relative role of various processes and assumed NOy fluxes. These also point up the need to incorporate more accurate downward NOy fluxes in models being used to simulate the polar stratosphere. Finally, we emphasize the need to consider the influence of repartitioning of NOy or NOx into HNO3 before observed variations in amounts of the former reaching the mid to lower stratosphere in winter and early spring can properly be used as tracers to reflect variations in thermospheric-mesospheric NOy production or transport.</t>
  </si>
  <si>
    <t>SUNY Stony Brook, Inst Terr &amp; Planetary Atmospheres, Stony Brook, NY 11794 USA; Russian State Hydrometeorol Inst, St Petersburg 195196, Russia</t>
  </si>
  <si>
    <t>State University of New York (SUNY) System; State University of New York (SUNY) Stony Brook</t>
  </si>
  <si>
    <t>de Zafra, R (corresponding author), SUNY Stony Brook, Inst Terr &amp; Planetary Atmospheres, Stony Brook, NY 11794 USA.</t>
  </si>
  <si>
    <t>robert.dezafra@sunysb.edu; smyshl@meteo.rshmi.spb.ru</t>
  </si>
  <si>
    <t>Smyshlyaev, Sergei/F-1198-2014</t>
  </si>
  <si>
    <t>Smyshlyaev, Sergei/0000-0002-8291-6738</t>
  </si>
  <si>
    <t>10.1029/2000JD000314</t>
  </si>
  <si>
    <t>WOS:000171538600037</t>
  </si>
  <si>
    <t>Bao, HM; Thiemens, MH; Heine, K</t>
  </si>
  <si>
    <t>Oxygen-17 excesses of the Central Namib gypcretes: spatial distribution</t>
  </si>
  <si>
    <t>Namib Desert; desert soils; gypsum; sulfates; O-18/O-16; O-17/O-16; atmospheric precipitation; dimethyl sulfide</t>
  </si>
  <si>
    <t>ANOMALOUS O-17 COMPOSITIONS; ISOTOPIC COMPOSITION; SULFUR-DIOXIDE; SULFATE; DESERT; WATER; DELTA-O-18; OXIDATION; ENVIRONMENTS; ATMOSPHERE</t>
  </si>
  <si>
    <t>We present here sulfate oxygen isotopic data (72 samples with both delta O-18 and delta O-17) systematically collected from the Central Namib Desert. Surface soils from two shore-inland (west-east) transects. exhibit a gradual increase in the sulfate oxygen-17 excess (Delta O-17 = delta O-17 -0.52 delta O-18) until at ca. 70 kin inland, where no continuous gypcrete deposit is observed further east (inland). The oxygen isotopic compositions for water-soluble sulfates extracted from soils and gypcretes range from 8.3 to 13.3 parts per thousand, and 0.06 to 1.11 parts per thousand for delta O-18 and Delta O-17, respectively. The lateral pattern is similar to what has been seen in the cold deserts of the Antarctic dry valleys. However, unlike the dry valleys, no discernible correlation is found between delta O-18 and Delta O-17, or between the depth of soil horizon and Delta O-17 in the Namib. Possible explanations include a relatively smaller component of dimethylsulfide (DMS)-derived sulfate in the total gypsum deposits and/or more active surface processes (e.g., flooding and leaching) in the Central Namib Desert than in the Antarctic cold deserts. Although current state of knowledge is insufficient to delineate quantitatively the sulfate contributions from different sources and reactions, the measurement of sulfate A170 does identify an unmistakable atmospheric sulfate component and provides additional independent information regarding sources and reactions. (C) 2001 Elsevier Science BY. All rights reserved.</t>
  </si>
  <si>
    <t>Univ Calif San Diego, Dept Chem &amp; Biochem, La Jolla, CA 92093 USA; Univ Regensburg, Inst Geog, D-93053 Regensburg, Germany</t>
  </si>
  <si>
    <t>University of California System; University of California San Diego; University of Regensburg</t>
  </si>
  <si>
    <t>Louisiana State Univ, Dept Geol &amp; Geophys, E235 Howe Russell Geosci Complex, Baton Rouge, LA 70803 USA.</t>
  </si>
  <si>
    <t>bao@geol-isu.edu</t>
  </si>
  <si>
    <t>Bao, Huiming/C-1069-2012</t>
  </si>
  <si>
    <t>OCT 15</t>
  </si>
  <si>
    <t>10.1016/S0012-821X(01)00446-0</t>
  </si>
  <si>
    <t>483UK</t>
  </si>
  <si>
    <t>WOS:000171654100002</t>
  </si>
  <si>
    <t>Lohmann, R; Ockenden, WA; Shears, J; Jones, KC</t>
  </si>
  <si>
    <t>Atmospheric distribution of polychlorinated dibenzo-p-dioxins, dibenzofurans (PCDD/Fs), and non-ortho biphenyls (PCBs) along a North-South Atlantic transect</t>
  </si>
  <si>
    <t>ENVIRONMENTAL SCIENCE &amp; TECHNOLOGY</t>
  </si>
  <si>
    <t>PERSISTENT ORGANIC POLLUTANTS; LONG-RANGE TRANSPORT; AIR-WATER EXCHANGE; MASS-BALANCE; ENVIRONMENT; SEDIMENTS; FLUXES</t>
  </si>
  <si>
    <t>Air samples were taken on board the RRS Bransfield (typically for 24-72 h), during an Atlantic cruise from the U.K. to Antarctica in October-December 1998, to investigate the global scale distribution of PCDD/Fs and coplanar PCBs. Highest concentrations Of Cl2-8DD/Fs all occurred between 25 and 52 degreesN; lowest concentrations were measured around similar to 60 degreesS and further south. Cl(3)DFs showed highest overall concentrations (up to 9800 fg/m(3)), followed by Cl(2)DFs (up to 5300 fg/m(3)) and OCDD (up to 1300 fg/m(3)). Lowest concentrations, measured in the remote Southern hemisphere, were generally 2 orders of magnitude lower than their highest concentrations over the North Atlantic. Concentrations of PCB-77 were higher in the northern hemisphere, while PCB-126 and PCB-169 exhibited highest concentrations around the equator. Evidence was obtained for substantial emissions of PCDD/Fs off west Africa and while in the port of Montevideo, Uruguay. Shifts in PCDD/F profile distribution were observed on increasing distance from source regions, such that those from the most remote locations were dominated by Cl3DF (similar to 40% of the total) and OCDD (similar to 20%). Gas-particle partition data was obtained for all samples. Cl4-6DD/Fs showed the widest range, varying between 10 and 90% of the total in the gas phase, depending on location/temperature. The study gave limited evidence for the influence of OH-radical initiated depletion reactions of gaseous PCDD/Fs. The global atmospheric burden is estimated to be on the order of 350 kg Sigma Cl4-8DD/Fs and similar to3 kg Sigma TEQ.</t>
  </si>
  <si>
    <t>Univ Lancaster, Inst Environm &amp; Nat Sci, Dept Environm Sci, Lancaster LA1 4YQ, England; British Antarctic Survey, Cambridge CB3 0ET, England</t>
  </si>
  <si>
    <t>Lancaster University; UK Research &amp; Innovation (UKRI); Natural Environment Research Council (NERC); NERC British Antarctic Survey</t>
  </si>
  <si>
    <t>Jones, KC (corresponding author), Univ Lancaster, Inst Environm &amp; Nat Sci, Dept Environm Sci, Lancaster LA1 4YQ, England.</t>
  </si>
  <si>
    <t>Jones, Kevin C/F-4296-2014; Lohmann, Rainer/B-1511-2008</t>
  </si>
  <si>
    <t>Jones, Kevin Christopher/0000-0001-7108-9776; Lohmann, Rainer/0000-0001-8796-3229</t>
  </si>
  <si>
    <t>0013-936X</t>
  </si>
  <si>
    <t>ENVIRON SCI TECHNOL</t>
  </si>
  <si>
    <t>Environ. Sci. Technol.</t>
  </si>
  <si>
    <t>10.1021/es010113y</t>
  </si>
  <si>
    <t>481PG</t>
  </si>
  <si>
    <t>WOS:000171528100007</t>
  </si>
  <si>
    <t>Edwards, R; Sedwick, P</t>
  </si>
  <si>
    <t>Iron in East Antarctic snow: Implications for atmospheric iron deposition and algal production in Antarctic waters</t>
  </si>
  <si>
    <t>LAST GLACIAL MAXIMUM; SUPPLY-AND-DEMAND; SOUTHERN-OCEAN; ICE CORES; DUST; METALS; CO2; VARIABILITY; GREENLAND; BLOOMS</t>
  </si>
  <si>
    <t>To evaluate the deposition and solubility of aerosol iron in the Antarctic seasonal sea ice zone (SSIZ), iron was measured in snow samples collected from three areas in the SSIZ (Prydz Bay, Dumont d'Urville Sea and Ross Sea) and one continental area (Princess Elizabeth Land) of East Antarctica. Concentrations of total-dissolvable iron (that soluble at pH similar to2) ranged from 20-2950 pg g(-1), with the lowest concentrations measured in snow from the Dumont d'Urville Sea. Using estimates of snow accumulation rates, we calculate atmospheric iron deposition fluxes of 0.017-0.11 mg m(-2) yr(-1) (0.30-2.0 pmol m(-2) yr(-1)), which are generally lower than previously published estimates. Measurements of iron in filtered meltwaters of snow samples from Prydz Bay and Princess Elizabeth Land suggest that similar to 10-90% of the total atmospheric iron is readily soluble. Assuming our results to be broadly representative of atmospheric deposition over seasonally ice-covered, high-nutrient Antarctic waters, we use our mean estimates of atmospheric iron deposition (1.1 mu mol m(-2) yr(-1)) and solubility (32%) to calculate that atmospheric iron potentially supports annual phytoplankton production of 1.1 X 10(12) mole C in the Antarctic SSIZ, which is less than 5% of the estimated total annual primary production in this ocean region.</t>
  </si>
  <si>
    <t>Old Dominion Univ, Dept Chem &amp; Biochem, Norfolk, VA 23529 USA; Antarctic CRC, Hobart, Tas 7001, Australia</t>
  </si>
  <si>
    <t>Old Dominion University</t>
  </si>
  <si>
    <t>Old Dominion Univ, Dept Chem &amp; Biochem, Norfolk, VA 23529 USA.</t>
  </si>
  <si>
    <t>redwards@odu.eu; P.Sedwick@utas.edu.au</t>
  </si>
  <si>
    <t>; Edwards, Ross/B-1433-2013</t>
  </si>
  <si>
    <t>Sedwick, Peter/0000-0003-0663-8323; Edwards, Ross/0000-0002-9233-8775</t>
  </si>
  <si>
    <t>10.1029/2001GL012867</t>
  </si>
  <si>
    <t>482RA</t>
  </si>
  <si>
    <t>WOS:000171588000021</t>
  </si>
  <si>
    <t>Bi, DH; Budd, WF; Hirst, AC; Wu, XR</t>
  </si>
  <si>
    <t>Collapse and reorganisation of the Southern Ocean overturning under global warming in a coupled model</t>
  </si>
  <si>
    <t>DYNAMIC SEA-ICE; THERMOHALINE CIRCULATION; ATMOSPHERE MODEL; CLIMATE; CYCLE</t>
  </si>
  <si>
    <t>This study investigates the long-term behaviour of the thermohaline circulation (THC) in the CSIRO climate model, under a scenario of transient increase of atmospheric (equivalent) CO2 concentration followed by a perpetual stabilisation at triple the initial level (3xCO(2)). The North Atlantic Deep Water Formation (NADWF) declines substantially and the Antarctic Bottom Water Formation (AABWF) essentially ceases by the time Of CO2 tripling. During the subsequent millennium of stable 3xCO(2), NADWF recovers slightly but the AABWF shows no sign of returning and the residual deep overturning dies away. Accelerating the convergence to equilibrium of the deep ocean under the 3XCO2 condition, the global THC eventually reaches a near-stable state with the entire ocean warming by about 7 degreesC, NADWF fully recovered and AABWF partly re-established. This result shows a possible new quasiequilibrium of the ocean under long-term global warming induced by the anthropogenic CO2 increase.</t>
  </si>
  <si>
    <t>Univ Tasmania, Antartic CRC, Hobart, Tas 7001, Australia; CSIRO Atmospher Res, Aspendale, Vic 3195, Australia; Univ Tasmania, IASOS, Hobart, Tas, Australia; Antarctic Div, Kingston, Tas 7050, Australia</t>
  </si>
  <si>
    <t>University of Tasmania; Commonwealth Scientific &amp; Industrial Research Organisation (CSIRO); University of Tasmania; Australian Antarctic Division</t>
  </si>
  <si>
    <t>Bi, DH (corresponding author), Univ Tasmania, Antartic CRC, GPO Box 252-77, Hobart, Tas 7001, Australia.</t>
  </si>
  <si>
    <t>Hirst, Anthony/N-1041-2014; Hirst, Anthony/E-2756-2013; Bi, Daohua/O-4508-2015</t>
  </si>
  <si>
    <t>10.1029/2001GL013705</t>
  </si>
  <si>
    <t>WOS:000171588000026</t>
  </si>
  <si>
    <t>Turner, J; Marshall, GJ; Ladkin, RS</t>
  </si>
  <si>
    <t>An operational, real-time cloud detection scheme for use in the Antarctic based on AVHRR data</t>
  </si>
  <si>
    <t>COVER; CLASSIFICATION; CLIMATOLOGY; RADIANCES; IMAGERY; EUROPE; NIGHT</t>
  </si>
  <si>
    <t>A description is given of an automatic cloud detection scheme that has been developed for year-round, routine use on full (1.1 km) horizontal-resolution, five-channel Advanced Very High Resolution Radiometer (AVHRR) satellite imagery of the Antarctic continent and the adjacent ocean areas. The scheme is based on multiple independent tests to determine whether a pixel is cloudy or cloud-free. Tests used include the use of various channel thresholds, inter-channel differences and assessment of the spatial coherence of infrared data. During that part of the year when there is solar radiation, the channel 3 (3.7 mum) data are the most valuable as clouds composed of supercooled water droplets can be detected via their high reflectivity against the dark ice surface. The scheme is successful at detecting most types of cloud, but some problems still remain. During the daytime, low-level, optically thin cloud can be difficult to detect, while during the winter, thick, featureless cloud with a temperature that is similar to the surface is difficult to identify. Assessment of the early climatological fields suggests that the scheme gives a realistic distribution of cloud over the southern part of the Antarctic Peninsula and resolves the greater amount of cloud that is present in King George VI Sound and over the Southern Weddell Sea coastal polynya, and the lower cloud fraction down the spine of the Peninsula.</t>
  </si>
  <si>
    <t>Turner, J (corresponding author), British Antarctic Survey, NERC, Cambridge CB3 0ET, England.</t>
  </si>
  <si>
    <t>Turner, John/0000-0002-6111-5122</t>
  </si>
  <si>
    <t>Natural Environment Research Council [bas010003] Funding Source: researchfish; NERC [bas010003] Funding Source: UKRI</t>
  </si>
  <si>
    <t>Natural Environment Research Council(UK Research &amp; Innovation (UKRI)Natural Environment Research Council (NERC)); NERC(UK Research &amp; Innovation (UKRI)Natural Environment Research Council (NERC))</t>
  </si>
  <si>
    <t>10.1080/01431160121291</t>
  </si>
  <si>
    <t>475TZ</t>
  </si>
  <si>
    <t>WOS:000171185100012</t>
  </si>
  <si>
    <t>Fine, RA; Maillet, KA; Sullivan, KF; Willey, D</t>
  </si>
  <si>
    <t>Circulation and ventilation flux of the Pacific Ocean</t>
  </si>
  <si>
    <t>WIND-DRIVEN CIRCULATION; SUBTROPICAL MODE WATER; EASTERN EQUATORIAL PACIFIC; WESTERN BOUNDARY CURRENT; NORTH-PACIFIC; INTERMEDIATE WATER; MASS FORMATION; THERMOCLINE VENTILATION; HYDROGRAPHIC SECTION; WORLD OCEAN</t>
  </si>
  <si>
    <t>The flux of water from the mixed layer into the thermocline/intermediate layers of the Pacific Ocean is quantified using chlorofluorocarbon (CFC) and hydrographic data. The total ventilation flux of at least 123 Sv for the South Pacific (SP) only slightly exceeds that of at least 111 Sv for the North Pacific (NP). Although the overall ventilation flux (to 27.3 sigma (theta)) is similar in the NP and SP, the partitioning amongst the water masses is markedly different. In the NP the partitioning is equal between the wind-driven (less than or equal to 26.5 sigma (theta)) and thermohaline (&gt; 26.5-27.3 sigma (theta)) layers. While in the SP the ventilation flux of the thermohaline layers exceeds by nearly 2:1 the wind-driven layers. The wind-driven subtropical gyre thermocline ventilation flux for the NP (41 Sv) exceeds the SP (25 Sv), and both agree well with literature estimates of Sverdrup transports. The ventilated volumes and ages are related to the wind stress curl and surface buoyancy fluxes. In the thermocline ventilation of Shallow Salinity Minimum Water (22 m yr(-1) in the NP, 15 m yr(-1) in the SP) and Subtropical Mode Water is more effective in the NP than in the SP. In contrast, in the thermohaline layers direct air-sea exchange during convective formation of Subantarctic Mode and 'Antarctic Intermediate Water is more effective in ventilating the SP than processes in the NP. These same differences are also used to explain the larger volume of the shadow zone in the NP. In the subpolar regions the ventilation fluxes can be used to infer formation rates of 8 Sv for the NP Intermediate Water and 9 Sv for the Subantarctic Mode Water. Into the tropical Pacific there is a substantial flux of 35 Sv of extratropical water for the wind-driven layers and 36 Sv for the thermohaline layers. The relatively young (5-20 years increasing with increasing density) CFC-derived ages show that a climate anomaly introduced into the subtropical thermocline could be transported into the tropics relatively quickly.</t>
  </si>
  <si>
    <t>Univ Miami, Rosenstiel Sch Marine &amp; Atmospher Sci, Miami, FL 33149 USA</t>
  </si>
  <si>
    <t>University of Miami</t>
  </si>
  <si>
    <t>Univ Miami, Rosenstiel Sch Marine &amp; Atmospher Sci, 4600 Rickenbacker Causeway, Miami, FL 33149 USA.</t>
  </si>
  <si>
    <t>rfine@rsmas.miami.edu</t>
  </si>
  <si>
    <t>C10</t>
  </si>
  <si>
    <t>10.1029/1999JC000184</t>
  </si>
  <si>
    <t>480NR</t>
  </si>
  <si>
    <t>WOS:000171468300006</t>
  </si>
  <si>
    <t>Williams, MJM; Grosfeld, K; Warner, RC; Gerdes, R; Determann, J</t>
  </si>
  <si>
    <t>Ocean circulation and ice-ocean interaction beneath the Amery Ice Shelf, Antarctica</t>
  </si>
  <si>
    <t>PRYDZ BAY; THERMOHALINE CIRCULATION; MODEL; REGION; RONNE; BASE</t>
  </si>
  <si>
    <t>Simulations of the ocean dynamics in the cavity under the Amery Ice Shelf, Antarctica, were carried out using a three-dimensional numerical ocean model. Two different boundary conditions were used to describe the open ocean barotropic exchange at the ice front. The simulations show that the circulation in the ocean cavity is predominantly barotropic and is generally steered by the cavity topography. The circulation is driven by the density gradient in the cavity, which is strongly influenced by the heat and salt fluxes from melting and freezing processes at the ice-ocean interface, and by the horizontal exchange of heat and salt across the open ocean boundary at the ice front. The interaction at the ice-ocean interface allows the basal component of the mass loss of the Amery Ice Shelf to be estimated. In the two simulations the computed losses were 5.8 Gt yr(-1) and 18.0 Gt yr(-1), values consistent with observations. The bulk of the melting occurred near the southern grounding line of the ice shelf, although substantial melting also occurred in areas where heat transport by horizontal circulation was large. Accretion was restricted to areas where water, from upstream melting, became supercooled as it ascended the ice shelf base.</t>
  </si>
  <si>
    <t>Univ Tasmania, Inst Antarctic &amp; So Ocean Studies, Hobart, Tas 7001, Australia; Antarctic Cooperat Res Ctr, Hobart, Tas, Australia; Alfred Wegener Inst Polar &amp; Marine Res, D-27515 Bremerhaven, Germany; Australian Antarctic Div, Hobart, Tas, Australia</t>
  </si>
  <si>
    <t>University of Tasmania; Helmholtz Association; Alfred Wegener Institute, Helmholtz Centre for Polar &amp; Marine Research; Australian Antarctic Division</t>
  </si>
  <si>
    <t>Univ Copenhagen, Niels Bohr Inst Phys, Danish Ctr Earth Syst Sci, Julianne Maries Vej 30, DK-2100 Copenhagen O, Denmark.</t>
  </si>
  <si>
    <t>mjmw@dcess.ku.dk; grosfel@uni-muenster.de; roland.warner@utas.edu.au; rgerdes@awi-bremerhaven.de</t>
  </si>
  <si>
    <t>Warner, Roland Charles/ISS-2485-2023; Warner, Robert R./M-5342-2013; Williams, Michael/H-9674-2014</t>
  </si>
  <si>
    <t>Warner, Roland Charles/0000-0002-9778-3544; Grosfeld, Klaus/0000-0001-5936-179X</t>
  </si>
  <si>
    <t>10.1029/2000JC000236</t>
  </si>
  <si>
    <t>WOS:000171468300020</t>
  </si>
  <si>
    <t>Amos, AF</t>
  </si>
  <si>
    <t>A decade of oceanographic variability in summertime near Elephant Island, Antarctica</t>
  </si>
  <si>
    <t>KRILL EUPHAUSIA-SUPERBA; WATER MASSES; CIRCUMPOLAR CURRENT; BRANSFIELD STRAIT; SOUTHERN-OCEAN; SEA; PHYTOPLANKTON; EXTENT; HYDROGRAPHY; BASIN</t>
  </si>
  <si>
    <t>The oceanography of near-surface (to 750 m) summertime waters surrounding the Elephant Island area of the South Shetland Islands has been surveyed each year from 1990 to 1999 as part of the U.S. Antarctic Marine Living Resources (AMLR) program. Using data from a grid of conductivity-temperature-depth stations occupied twice each summer and surface meteorological data collected continuously in the survey area, the mean (and annual departures from the mean) hydrography, circulation, and overlying wind field have been determined. The area is an important krill fishing ground and includes several water mass zones and a major frontal boundary. Differences between middle and late summer (seasonal) conditions and interannual variability have been investigated. The mean summer condition is quite representative of conditions encountered in each of the 10 years, and little change occurs from middle to late summer, other than a warming of Antarctic Surface Water, including the Winter Water temperature minimum at 100 m, but there is no discernible trend from middle to late summer at the depth of the Circumpolar Deep Water. Interannual variability of sea temperature, winds, and sea level pressure as measured during these surveys showed no correlation with a sea ice index and a recently devised pressure index, the Drake Passage Oscillation Index (DPOI) [Naganobu et al., 1999], despite the correlations found in that study between AMLR chlorophyll a and krill recruitment indices, sea ice, and the DPOI. No correlation was found between DPOI and annual summertime sea temperature, wind, and surface pressure anomalies in the survey area. The implication is that global-scale climatic oscillations with periodicities measured in years may not be adequately detected by small-scale oceanographic surveys even though the surveys may extend over several years unless the surveys are specifically designed for that purpose.</t>
  </si>
  <si>
    <t>Univ Texas, Inst Marine Sci, Port Aransas, TX 78373 USA</t>
  </si>
  <si>
    <t>University of Texas System</t>
  </si>
  <si>
    <t>Amos, AF (corresponding author), Univ Texas, Inst Marine Sci, 750 Channel View Dr, Port Aransas, TX 78373 USA.</t>
  </si>
  <si>
    <t>afamos@utmsi.utexas.edu</t>
  </si>
  <si>
    <t>10.1029/2000JC000315</t>
  </si>
  <si>
    <t>WOS:000171468300021</t>
  </si>
  <si>
    <t>Stössel, A; Kim, SJ</t>
  </si>
  <si>
    <t>Decadal deep-water variability in the subtropical Atlantic and convection in the Weddell Sea</t>
  </si>
  <si>
    <t>ANTARCTIC BOTTOM WATER; GLOBAL OCEAN CIRCULATION; SOUTHERN-HEMISPHERE WINDS; WESTERN BOUNDARY CURRENT; WINTER MIXED LAYER; NORTH-ATLANTIC; GENERAL-CIRCULATION; MEAN CIRCULATION; HEAT-TRANSPORT; CLIMATE MODEL</t>
  </si>
  <si>
    <t>This study suggests a link between convection in the Weddell Sea and deepwater flows in the (sub)tropical Atlantic. Employing a global sea ice-ocean general circulation model, events of enhanced convection are found to create enhanced outflow of Antarctic Bottom Water (AABW), the associated anomaly of which propagates rapidly along the model's deep western boundary. The propagation timescale of the order of a few years to reach the tropical Atlantic matches baroclinic Kelvin waves with phase speed corrected for the model's grid resolution. This feature is consistent with earlier findings on the baroclinic adjustment to perturbations of the rate of North Atlantic Deep Water (NADW) formation. The mean deep ocean transports, as well as the timescales and amplitudes of the deep ocean anomalies, are in good agreement with observation-based estimates. Upon arrival in the deep western tropical Atlantic, the model AABW anomalies induce strong anomalies in NADW outflow. This behavior suggests that the actual magnitude of NADW outflow across 30 S is highly susceptible to external perturbations on the baroclinic adjustment timescale. The implied higher susceptibility is supported by recent observations that NADW turns mostly eastward between 20 S and 30 S. The NADW anomalies eventually propagate southward and join the Antarctic Circumpolar Current. There is weak indication that the associated anomalies enter the eastern Weddell Gyre to eventually feed back on the critical convection site in the Weddell Sea, possibly sustaining the oscillation: However, there is stronger evidence that the anomalies initially created by the convective events are advected with the model's Weddell Gyre, the advective timescale of which (10-12 years) is consistent with the periodicity of the convective events.</t>
  </si>
  <si>
    <t>Texas A&amp;M Univ, Texas Ctr Climate Studies, Dept Oceanog, College Stn, TX 77843 USA; Univ Victoria, Canadian Ctr Climate Modelling &amp; Anal, Victoria, BC V8N 3X3, Canada</t>
  </si>
  <si>
    <t>Texas A&amp;M University System; Texas A&amp;M University College Station; Environment &amp; Climate Change Canada; Canadian Centre for Climate Modelling &amp; Analysis (CCCma); University of Victoria</t>
  </si>
  <si>
    <t>achim@advect.tamu.edu; Seong-Joong.Kim@ec.gc.ca</t>
  </si>
  <si>
    <t>10.1029/2000JC000335</t>
  </si>
  <si>
    <t>WOS:000171468300022</t>
  </si>
  <si>
    <t>Amos, W; Wilmer, JW; Fullard, K; Burg, TM; Croxall, JP; Bloch, D; Coulson, T</t>
  </si>
  <si>
    <t>The influence of parental relatedness on reproductive success</t>
  </si>
  <si>
    <t>PROCEEDINGS OF THE ROYAL SOCIETY B-BIOLOGICAL SCIENCES</t>
  </si>
  <si>
    <t>inbreeding depression; outbreeding; mate choice; pilot whale; grey seal; albatross</t>
  </si>
  <si>
    <t>MALE MATING SUCCESS; INBREEDING DEPRESSION; MICROSATELLITE ANALYSIS; HALICHOERUS-GRYPUS; GENETIC-VARIATION; SPERM SELECTION; SONG SPARROWS; POPULATION; SEAL; PERFORMANCE</t>
  </si>
  <si>
    <t>The relationship between fitness and parental similarity has been dominated by studies of how inbreeding depression lowers fecundity in incestuous matings. A widespread implicit assumption is that adult fitness (reproduction) of individuals born to parents who are not unusually closely related is more or less equal. Examination of three long-lived vertebrates, the long-finned pilot whale, the grey seal and the wandering albatross reveals significant negative relationships between parental similarity and genetic estimates of reproductive success. This effect could, in principle, be driven by a small number of low quality, inbred individuals. However, when the data are partitioned into individuals with above average and below average parental similarity, we find no evidence that the slopes differ, suggesting that the effect is more or less similar across the full range of parental similarity values. Our results thus uncover a selective pressure that favours not only inbreeding avoidance, but also the selection of maximally dissimilar mates.</t>
  </si>
  <si>
    <t>Univ Cambridge, Dept Zool, Cambridge CB2 3EJ, England; British Antarctic Survey, NERC, Cambridge CB3 0ET, England; Museum Nat Hist, Torshavn, Denmark</t>
  </si>
  <si>
    <t>Univ Cambridge, Dept Zool, Downing St, Cambridge CB2 3EJ, England.</t>
  </si>
  <si>
    <t>w.amos@zoo.cam.ac.uk</t>
  </si>
  <si>
    <t>Coulson, Tim/AAL-8148-2021</t>
  </si>
  <si>
    <t>Coulson, Tim/0000-0001-9371-9003</t>
  </si>
  <si>
    <t>ROYAL SOC</t>
  </si>
  <si>
    <t>6-9 CARLTON HOUSE TERRACE, LONDON SW1Y 5AG, ENGLAND</t>
  </si>
  <si>
    <t>0962-8452</t>
  </si>
  <si>
    <t>1471-2954</t>
  </si>
  <si>
    <t>P ROY SOC B-BIOL SCI</t>
  </si>
  <si>
    <t>Proc. R. Soc. B-Biol. Sci.</t>
  </si>
  <si>
    <t>OCT 7</t>
  </si>
  <si>
    <t>10.1098/rspb.2001.1751</t>
  </si>
  <si>
    <t>Biology; Ecology; Evolutionary Biology</t>
  </si>
  <si>
    <t>Life Sciences &amp; Biomedicine - Other Topics; Environmental Sciences &amp; Ecology; Evolutionary Biology</t>
  </si>
  <si>
    <t>482FU</t>
  </si>
  <si>
    <t>WOS:000171566100009</t>
  </si>
  <si>
    <t>Shouse, B</t>
  </si>
  <si>
    <t>Polar research - Fire guts British Antarctic lab</t>
  </si>
  <si>
    <t>OCT 5</t>
  </si>
  <si>
    <t>480EJ</t>
  </si>
  <si>
    <t>WOS:000171448800011</t>
  </si>
  <si>
    <t>Wynn-Williams, D</t>
  </si>
  <si>
    <t>Why astrobiology needs collaboration</t>
  </si>
  <si>
    <t>ASTRONOMY &amp; GEOPHYSICS</t>
  </si>
  <si>
    <t>MARTIAN METEORITE</t>
  </si>
  <si>
    <t>Wynn-Williams, D (corresponding author), British Antarctic Survey, NERC, High Cross,Madingley Rd, Cambridge CB3 0ET, England.</t>
  </si>
  <si>
    <t>1366-8781</t>
  </si>
  <si>
    <t>ASTRON GEOPHYS</t>
  </si>
  <si>
    <t>Astron. Geophys.</t>
  </si>
  <si>
    <t>OCT</t>
  </si>
  <si>
    <t>10.1046/j.1468-4004.2001.42520.x</t>
  </si>
  <si>
    <t>Astronomy &amp; Astrophysics; Geochemistry &amp; Geophysics</t>
  </si>
  <si>
    <t>494FB</t>
  </si>
  <si>
    <t>WOS:000172270100013</t>
  </si>
  <si>
    <t>Kiernan, K; McConnell, A</t>
  </si>
  <si>
    <t>Impacts of geoscience research on the physical environment of the Vestfold Hills, Antarctica</t>
  </si>
  <si>
    <t>AUSTRALIAN JOURNAL OF EARTH SCIENCES</t>
  </si>
  <si>
    <t>Antarctica; environmental impact; human impact; permafrost; polar deserts; Vestfold Hills</t>
  </si>
  <si>
    <t>SOILS</t>
  </si>
  <si>
    <t>Antarctic polar deserts can be of considerable scientific interest, but can also exhibit great environmental sensitivity. A variety of factors, including Australia's legal obligations under the Madrid Protocol, public expectations, certain research opportunities and ethical considerations, demand a very high standard of environmental protection. A survey outside the Davis Station limits in the Vestfold Hills, East Antarctica, identified 66 sites at which past human activities had left long-term impacts on the physical environment. Nearly half of all observed impacts were the result of geoscientific research that had left old pit and trench sites, vehicular tracks, partly excavated palaeontological material, rock sampling and drilling sites, localised slope instability caused by disturbance, and discarded equipment and markers. Comparisons between rehabilitated sites and others where little, if any, rehabilitation appears to have been attempted suggest natural processes alone are generally insufficient to heal the damage, but that effective rehabilitation is often possible if undertaken immediately after the initial disturbance.</t>
  </si>
  <si>
    <t>Univ Tasmania, Sch Geog &amp; Environm Studies, Hobart, Tas 7005, Australia</t>
  </si>
  <si>
    <t>Kiernan, K (corresponding author), Univ Tasmania, Sch Geog &amp; Environm Studies, Hobart, Tas 7005, Australia.</t>
  </si>
  <si>
    <t>BLACKWELL PUBLISHING ASIA</t>
  </si>
  <si>
    <t>CARLTON</t>
  </si>
  <si>
    <t>54 UNIVERSITY ST, P O BOX 378, CARLTON, VICTORIA 3053, AUSTRALIA</t>
  </si>
  <si>
    <t>0812-0099</t>
  </si>
  <si>
    <t>AUST J EARTH SCI</t>
  </si>
  <si>
    <t>Aust. J. Earth Sci.</t>
  </si>
  <si>
    <t>10.1046/j.1440-0952.2001.00897.x</t>
  </si>
  <si>
    <t>561MN</t>
  </si>
  <si>
    <t>WOS:000176144900013</t>
  </si>
  <si>
    <t>Arnould, JPY; Boyd, IL; Rawlins, DR; Hindell, MA</t>
  </si>
  <si>
    <t>Variation in maternal provisioning by lactating Antarctic fur seals (Arctocephalus gazella):: response to experimental manipulation in pup demand</t>
  </si>
  <si>
    <t>BEHAVIORAL ECOLOGY AND SOCIOBIOLOGY</t>
  </si>
  <si>
    <t>Antarctic fur seal; maternal investment; feeding; growth; lactation</t>
  </si>
  <si>
    <t>GROWTH-RATE; EFFICIENCY; TIME; WATER; BIRD; MASS; FLUX</t>
  </si>
  <si>
    <t>An experiment involving the supplementary feeding of pups was conducted on Antarctic fur seals to investigate the factors influencing maternal foraging-attendance cycles and the differential use of nutritional resources for growth, maintenance and storage by pups. For 40% of the lactation period, male pups were given a supplement mimicking the chemical composition of Antarctic fur seal milk at a dose equivalent to 35% of the normal mass-specific milk energy intake for the species. Milk consumption, body composition and growth rates were monitored during and after the supplementary feeding period and maternal foraging-attendance cycles were monitored throughout lactation. During the supplementary feeding period, treatment pups (n=8) grew 32% faster and deposited greater adipose tissue stores than controls (n=8) but consumed the same amount of maternal-delivered milk. When supplementary feeding was stopped (timed to coincide with peak maternal milk yield in this species), treatment pups lost mass whereas control group pups continued to grow. Treatment pups weaned at a younger age (109 days) than control pups (116 days) but at the same mass (13 kg). Maternal attendance durations did not differ between the treatment and control groups throughout lactation. However, mothers of treatment pups had significantly shorter foraging trip durations (3.74 days) than mothers of control pups (4.74 days) during the period of supplementary feeding (there were no significant differences throughout the rest of lactation). These findings are in accordance with predictions of a marginal-value model of fur seal lactation behaviour.</t>
  </si>
  <si>
    <t>Macquarie Univ, Marine Mammal Res Grp, Grad Sch Environm, Sydney, NSW 2109, Australia; British Antarctic Survey, Cambridge CB3 0ET, England; Univ Tasmania, Sch Zool, Antarctic Wildlife Res Unit, Hobart, Tas 7001, Australia</t>
  </si>
  <si>
    <t>Macquarie University; UK Research &amp; Innovation (UKRI); Natural Environment Research Council (NERC); NERC British Antarctic Survey; University of Tasmania</t>
  </si>
  <si>
    <t>Arnould, JPY (corresponding author), Macquarie Univ, Marine Mammal Res Grp, Grad Sch Environm, Sydney, NSW 2109, Australia.</t>
  </si>
  <si>
    <t>Hindell, Mark A/C-8368-2013; Hindell, Mark A/K-1131-2013</t>
  </si>
  <si>
    <t>Hindell, Mark/0000-0002-7823-7185</t>
  </si>
  <si>
    <t>0340-5443</t>
  </si>
  <si>
    <t>BEHAV ECOL SOCIOBIOL</t>
  </si>
  <si>
    <t>Behav. Ecol. Sociobiol.</t>
  </si>
  <si>
    <t>Behavioral Sciences; Ecology; Zoology</t>
  </si>
  <si>
    <t>Behavioral Sciences; Environmental Sciences &amp; Ecology; Zoology</t>
  </si>
  <si>
    <t>484TX</t>
  </si>
  <si>
    <t>WOS:000171706600009</t>
  </si>
  <si>
    <t>Veihelmann, B; Olesen, FS; Kottmeier, C</t>
  </si>
  <si>
    <t>Sea ice surface temperature in the Weddell Sea (Antarctica), from drifting buoy and AVHRR data</t>
  </si>
  <si>
    <t>COLD REGIONS SCIENCE AND TECHNOLOGY</t>
  </si>
  <si>
    <t>sea ice; surface temperature; AVHRR; drifting buoy; Antarctica</t>
  </si>
  <si>
    <t>SNOW COVER; RADIOMETER; BALANCE</t>
  </si>
  <si>
    <t>The surface temperature of sea ice is derived from infrared AVHRR measurements and from in situ measurements at drifting buoys in the Weddell Sea, Antarctica. For clear sky cases, the surface temperature is calculated from AVHRR channel 4 data (10.3-11.3 mum). After calibrating and geo-referencing the infrared measurements, an atmospheric correction is carried out using the radiation transfer model MODTRAN and temperature and humidity data from ECMWF analyses. The results are compared with surface temperatures derived from air temperature measurements from drifting buoys with an energy balance model. Results from both methods are linearly related with a correlation coefficient of 0.97 and a slope of 1.03. The bias is less than 1.3 K and the standard deviation of the residuals is 2.56 K. Accuracies and worst case error estimates of both methods are quantified by sensitivity studies with respect to the relevant sources of errors. A typical accuracy of the buoy-based surface temperature is 2 K and a worst case error estimate is 4-7 K depending on the ice thickness. The accuracy and worst case error estimate of satellite-derived surface temperature are of the same magnitude. Thus, none of the derivation methods is considered to be a validation of the other. Ice surface temperature variations in the Antarctic sea ice zone are caused by moving depressions in all seasons and cover a range of up to 20 K. Satellite measurements with a typical accuracy of 2 K may provide surface temperatures with a satisfactory signal to noise ratio in this data-sparse region, although clouds bear a significant restriction to their application. (C) 2001 Elsevier Science B.V. All rights reserved.</t>
  </si>
  <si>
    <t>Univ Karlsruhe, TH, Forschungszentrum, Inst Meteorol &amp; Klimaforsch, Karlsruhe, Germany</t>
  </si>
  <si>
    <t>Helmholtz Association; Karlsruhe Institute of Technology</t>
  </si>
  <si>
    <t>Veihelmann, B (corresponding author), Estec, ESA, Noordwijk, Netherlands.</t>
  </si>
  <si>
    <t>Kottmeier, Christoph/A-9553-2013; Olesen, Folke/A-7273-2013</t>
  </si>
  <si>
    <t>Kottmeier, Christoph/0000-0002-2196-2052;</t>
  </si>
  <si>
    <t>0165-232X</t>
  </si>
  <si>
    <t>COLD REG SCI TECHNOL</t>
  </si>
  <si>
    <t>Cold Reg. Sci. Tech.</t>
  </si>
  <si>
    <t>10.1016/S0165-232X(01)00025-8</t>
  </si>
  <si>
    <t>Engineering, Environmental; Engineering, Civil; Geosciences, Multidisciplinary</t>
  </si>
  <si>
    <t>Engineering; Geology</t>
  </si>
  <si>
    <t>481NZ</t>
  </si>
  <si>
    <t>WOS:000171527400002</t>
  </si>
  <si>
    <t>Lörz, AN; Coleman, CO</t>
  </si>
  <si>
    <t>Epimeria reoproi n. sp., a new amphipod (Epimeriidae) from the Antarctic</t>
  </si>
  <si>
    <t>CRUSTACEANA</t>
  </si>
  <si>
    <t>The amphipod Epimeria reoproi n. sp., collected from the Antarctic Ocean, is described in detail. It has a smooth anterior pereon and a carina that begins on pereonite 5. This is similar to Epimeria vaderi Coleman, 1998 and to a specimen that has been described by Andres (1985). The carinal processes increase in size on the pleon in posterior direction. The head bears a strongly flexed rostrum. The coxa of pereiopod 4 is characteristically shaped, it is drawn out into a long, posteriorly flexed, acute apex. The posteroventral angles of the bases of pereiopods 5-6 are acutely produced.</t>
  </si>
  <si>
    <t>Univ Hamburg, Inst Zool, D-20146 Hamburg, Germany; Univ Hamburg, Zool Museum, D-20146 Hamburg, Germany; Inst Syst Zool, Museum Nat, D-10115 Berlin, Germany</t>
  </si>
  <si>
    <t>University of Hamburg; University of Hamburg</t>
  </si>
  <si>
    <t>Lörz, AN (corresponding author), Univ Hamburg, Inst Zool, Martin Luther King Pl 3, D-20146 Hamburg, Germany.</t>
  </si>
  <si>
    <t>BRILL ACADEMIC PUBLISHERS</t>
  </si>
  <si>
    <t>LEIDEN</t>
  </si>
  <si>
    <t>PLANTIJNSTRAAT 2, P O BOX 9000, 2300 PA LEIDEN, NETHERLANDS</t>
  </si>
  <si>
    <t>0011-216X</t>
  </si>
  <si>
    <t>Crustaceana</t>
  </si>
  <si>
    <t>10.1163/15685400152682728</t>
  </si>
  <si>
    <t>510TE</t>
  </si>
  <si>
    <t>WOS:000173222700016</t>
  </si>
  <si>
    <t>Yagüe, C; Maqueda, G; Rees, JM</t>
  </si>
  <si>
    <t>Characteristics of turbulence in the lower atmosphere at Halley IV station, Antarctica</t>
  </si>
  <si>
    <t>DYNAMICS OF ATMOSPHERES AND OCEANS</t>
  </si>
  <si>
    <t>3rd Conference on Mixing in Geophysical and Astrophysical Flows</t>
  </si>
  <si>
    <t>APR 12-14, 2000</t>
  </si>
  <si>
    <t>UNIV SHEFFIELD, SHEFFIELD, ENGLAND</t>
  </si>
  <si>
    <t>UNIV SHEFFIELD</t>
  </si>
  <si>
    <t>turbulence; atmospheric boundary layer; Antarctica</t>
  </si>
  <si>
    <t>STABLE BOUNDARY-LAYER; SURFACE-LAYER; TEMPERATURE PROFILES; ICE SHELF; FLUXES; HEAT; TERRAIN; WINTER; WIND</t>
  </si>
  <si>
    <t>A study of turbulent processes taking place in the stably stratified boundary layer overlying an Antarctic ice-shelf is presented. The ice-shelf is regarded as a flat, homogeneous surface. Turbulent measurements were made by the British Antarctic Survey from their meteorological station at Halley, Antarctica. Instrumentation included a 32 m mast supporting three ultrasonic thermo-anemometers, platinum resistance thermometers and other meteorological instruments. Mechanical and thermal properties of boundary layer turbulence are investigated, and parameters such as friction velocity and turbulent exchange coefficients are calculated and their dependence on the gradient Richardson number and local stability parameter, z/Lambda, is discussed. It is shown that the friction velocity is a key parameter controlling the turbulent characteristics in this particular boundary layer. Strong surface-based thermal inversions of up to 10 degreesC over the lowest 30 m are often observed. The relationships between the inversion strength and turbulent parameters are studied and their influence on near-surface mixing is assessed. It is shown that in the very strongly stratified boundary layer stability functions for heat and momentum may reach a constant value at fairly low-levels,suggesting that z-less scalings are applicable under such conditions. The implications for numerical modelling of the stable boundary layer are discussed and the need for further observational studies is highlighted. (C) 2001 Elsevier Science B.V. All rights reserved.</t>
  </si>
  <si>
    <t>Univ Sheffield, Dept Appl Math, Sheffield S3 7RH, S Yorkshire, England; Univ Complutense Madrid, Fac CC Fis, Dept Fis Tierra Astron &amp; Astrofis 2, E-28040 Madrid, Spain; Inst Nacl Meteorol, Madrid 28040, Spain</t>
  </si>
  <si>
    <t>University of Sheffield; Complutense University of Madrid; Agencia Estatal de Meteorologia (AEMET)</t>
  </si>
  <si>
    <t>Rees, JM (corresponding author), Univ Sheffield, Dept Appl Math, Hounsfield Rd, Sheffield S3 7RH, S Yorkshire, England.</t>
  </si>
  <si>
    <t>Redondo Apraiz, Jose Manuel/D-1049-2009; Yague, Carlos/G-4498-2011; Maqueda Burgos, Gregorio/H-9746-2015</t>
  </si>
  <si>
    <t>Redondo Apraiz, Jose Manuel/0000-0002-4006-301X; Yague, Carlos/0000-0002-6086-4877; Maqueda Burgos, Gregorio/0000-0001-6479-7184; Rees, Julia/0000-0002-6266-5708</t>
  </si>
  <si>
    <t>0377-0265</t>
  </si>
  <si>
    <t>DYNAM ATMOS OCEANS</t>
  </si>
  <si>
    <t>Dyn. Atmos. Oceans</t>
  </si>
  <si>
    <t>2-4</t>
  </si>
  <si>
    <t>10.1016/S0377-0265(01)00068-9</t>
  </si>
  <si>
    <t>Geochemistry &amp; Geophysics; Meteorology &amp; Atmospheric Sciences; Oceanography</t>
  </si>
  <si>
    <t>467UK</t>
  </si>
  <si>
    <t>WOS:000170722000008</t>
  </si>
  <si>
    <t>Rees, JM; Staszewski, WJ; Winkler, JR</t>
  </si>
  <si>
    <t>Case study of a wave event in the stable atmospheric boundary layer overlying an Antarctic Ice Shelf using the orthogonal wavelet transform</t>
  </si>
  <si>
    <t>internal gravity waves; turbulence; atmospheric boundary layer; Antarctica</t>
  </si>
  <si>
    <t>GRAVITY-WAVES; STRATIFICATION; FLUCTUATIONS; TURBULENCE; NETWORK</t>
  </si>
  <si>
    <t>This paper describes a spectacular gravity wave event which was detected by meteorological instruments deployed in the stably stratified atmospheric boundary layer overlying the Brunt Ice Shelf, Antarctica. Varying levels of turbulence activity were also observed. Wind and temperature records from sonic anemometers deployed on a 32 m mast have been studied using cross-spectral analysis and the orthogonal wavelet transform. Wavelet-based variance characteristics and derived parameters are used to identify self-similar processes, noise and coherent structures within a signal, thus providing useful information on the distribution of energy. Local maxima in the wavelet variance characteristics at lower wavelet levels were linked with a propagating internal wave. (C) 2001 Elsevier Science BN. All rights reserved.</t>
  </si>
  <si>
    <t>Univ Sheffield, Dept Appl Math, Sheffield S3 7RH, S Yorkshire, England; Univ Sheffield, Dept Mech Engn, Sheffield S1 3JD, S Yorkshire, England; Univ Sheffield, Dept Comp Sci, Sheffield S1 4DP, S Yorkshire, England</t>
  </si>
  <si>
    <t>University of Sheffield; University of Sheffield; University of Sheffield</t>
  </si>
  <si>
    <t>10.1016/S0377-0265(01)00070-7</t>
  </si>
  <si>
    <t>WOS:000170722000010</t>
  </si>
  <si>
    <t>Barker, PF</t>
  </si>
  <si>
    <t>Scotia Sea regional tectonic evolution: implications for mantle flow and palaeocirculation</t>
  </si>
  <si>
    <t>EARTH-SCIENCE REVIEWS</t>
  </si>
  <si>
    <t>Scotia arc; subduction; back-arc extension; mantle flow; palaeoceanography; Antarctic glaciation; Antarctic circumpolar current</t>
  </si>
  <si>
    <t>ANTARCTIC CIRCUMPOLAR CURRENT; SOUTHERNMOST SOUTH-AMERICA; ATMOSPHERIC CARBON-DIOXIDE; SURFACE TEMPERATURE DATA; CREST-TRENCH COLLISION; RELATIVE PLATE MOTIONS; TIERRA-DEL-FUEGO; WEDDELL SEA; HEAT-FLOW; DRAKE PASSAGE</t>
  </si>
  <si>
    <t>The Scotia Sea and surrounding Scotia Are have evolved over the past 40 Ma, by extension behind an east-migrating subduction zone, at the boundary between the South American (SAM) and Antarctic (ANT) plates. The considerable data set now available (regional geology and geophysics, earthquake seismology, satellite altimetry, global plate analyses) suggest why east-migrating subduction began, what has been the driving force that has sustained it, and what other processes have controlled the made of back-arc extension in the Scotia Sea. A suite of six reconstructions has been developed, based on this data set. The reconstruction to 40 Ma creates a compact, cuspate continental connection between South America and the Antarctic Peninsula at the subducting Pacific margin, with fragments (now dispersed around the Scotia Arc) occupying positions within it compatible with their known geology. The driving force has been subduction of South American ocean floor, which began as a result of southward migration of the pole of South American-Antarctic plate rotation, and a key modulator of back-arc extension has been collision of ridge crest sections of the South American-Antarctic plate boundary with the east-advancing trench. Cenozoic regional tectonic evolution has two other likely consequences which greatly increase its importance. Firstly, this region saw the tectonic disruption of the final barrier to complete circum-Antarctic deep water flow, that may have had a profound effect on palaeoclimate. Secondly, it is possible that the rapid roll-back of the hinge of subduction is related to shallow eastward flow in the sub-lithospheric mantle. Both of these consequences are explored. The reconstructions show that rapid roll-back of the subduction hinge (averaging 50 mm/a over the last 40 Ma with respect to the South American plate) has been a feature of all of Scotia Sea evolution, and provide a history of motion of several oceanic microplates, most of which are now welded together within the Scotia Sea. This will guide the location of seismometers and/or dredge hauls to test the hypothesis of shallow mantle flow, and help interpret the results. The reconstructions also allow an assessment of the creation of deep-water pathways that would have permitted the development of the present-day Antarctic Circumpolar Current (ACC). An early Miocene onset (within the period 22-17 Ma) seems likely for the ACC, depending on the structure and palaeo-elevation of Davis Bank and Aurora Bank, sections of the North Scotia Ridge. However, the study shows there was a delay (of one or more million years) between initial provision of a deep-water pathway and the major rr:mid-Miocene change in global climate (involving the general level of Antarctic glaciation) that may have been related. If these changes were related, then the delay suggests that other factors, possibly rough elevated ocean floor but also non-tectonic factors (such as atmospheric CO2), were important in determining palaeoclimate. (C) 2001 Elsevier Science B.V. All rights reserved.</t>
  </si>
  <si>
    <t>Barker, PF (corresponding author), British Antarctic Survey, NERC, Madingley Rd,High Cross, Cambridge CB3 0ET, England.</t>
  </si>
  <si>
    <t>0012-8252</t>
  </si>
  <si>
    <t>EARTH-SCI REV</t>
  </si>
  <si>
    <t>Earth-Sci. Rev.</t>
  </si>
  <si>
    <t>10.1016/S0012-8252(01)00055-1</t>
  </si>
  <si>
    <t>494GE</t>
  </si>
  <si>
    <t>WOS:000172272700001</t>
  </si>
  <si>
    <t>Matsuoka, N</t>
  </si>
  <si>
    <t>Solifluction rates, processes and landforms: a global review</t>
  </si>
  <si>
    <t>mass wasting; solifluction; freeze-thaw; permafrost; periglacial; climate change</t>
  </si>
  <si>
    <t>CANADIAN ROCKY MOUNTAINS; TURF-BANKED TERRACES; FROST-HEAVE; PERMAFROST ENVIRONMENT; NORTHWEST-TERRITORIES; SOIL-MOISTURE; SOUTH-AFRICA; RAE AREA; CREEP; MOVEMENT</t>
  </si>
  <si>
    <t>Field data on the rates of solifluction and associated parameters are compiled from the literature, in an attempt to evaluate factors controlling the spatial variability in solifluction processes and landforms, with special attention on the climate-solifluction. relationship. The analyzed data originate from 46 sites over a wide range of periglacial environments, from Antarctic nunataks to tropical high mountains. Solifluction, broadly defined as slow mass wasting resulting from freeze-thaw action in fine-textured soils, involves several components: needle ice creep and diurnal frost creep originating from diurnal freeze-thaw action; annual frost creep, gelifluction and plug-like flow originating from annual freeze-thaw action; and retrograde movement caused by soil cohesion. The depth and thickness of ice lenses and freeze-thaw frequency are the major controls on the spatial variation in solifluction processes. Near the warm margin of the solifluction-affected environment, diurnal freeze-thaw action induces shallow but relatively rapid movement of a superficial layer 5 - 10 cm thick on average, often creating the thin stone-banked lobes typically seen on tropical high mountains. In addition to diurnal movement, annual frost creep and gelifluction may occur on slopes with soil climates of seasonal frost to warm permafrost, dislocating a soil layer shallower than 60 cm at a rate of centimeters per year and eventually producing medium-size solifluction lobes. In High-Arctic cold permafrost regions, two-sided freezing can induce plug-like flow of a soil mass 60 cm or thicker. The correlation between process and landform. suggests that the riser height of lobes is indicative of the maximum depth of movement and prevailing freeze-thaw type. Climate change may result in new different ground freezing conditions, thereby influencing the surface velocity and maximum depth of soil movement. Soil moisture and topography also control solifluction. High moisture availability in the seasonal freezing period enhances diurnal freeze-thaw action and subsequent seasonal frost heaving. The latter contributes to raising the moisture content of the thawed layer and promotes gelifluction during the thawing period. The slope angle defines the upper limit of the surface velocity of solifluction. A diagram correlating the potential frost creep with the actual surface velocity permits an inter-site comparison of the relative magnitude of solifluction components. Physically based modelling of periglacial slope evolution requires synthetic and more detailed field monitoring and laboratory simulations of solifluction processes. (C) 2001 Elsevier Science B.V. All rights reserved.</t>
  </si>
  <si>
    <t>Univ Tsukuba, Inst Geosci, Tsukuba, Ibaraki 3058571, Japan</t>
  </si>
  <si>
    <t>University of Tsukuba</t>
  </si>
  <si>
    <t>Univ Tsukuba, Inst Geosci, Tsukuba, Ibaraki 3058571, Japan.</t>
  </si>
  <si>
    <t>matsuoka@atm.geo.tsukuba.ac.jp</t>
  </si>
  <si>
    <t>Matsuoka, Norikazu/A-6520-2009</t>
  </si>
  <si>
    <t>Matsuoka, Norikazu/0000-0003-2832-179X</t>
  </si>
  <si>
    <t>1872-6828</t>
  </si>
  <si>
    <t>10.1016/S0012-8252(01)00057-5</t>
  </si>
  <si>
    <t>WOS:000172272700004</t>
  </si>
  <si>
    <t>Montgomery, JC; Coombs, S; Baker, CF</t>
  </si>
  <si>
    <t>The mechanosensory lateral line system of the hypogean form of Astyanax fasciatus</t>
  </si>
  <si>
    <t>ENVIRONMENTAL BIOLOGY OF FISHES</t>
  </si>
  <si>
    <t>superficial neuromast; canal organ; rheotaxis; olfactory search; prey detection; hydrodynamic imaging</t>
  </si>
  <si>
    <t>FISH ANOPTICHTHYS-JORDANI; MEXICAN CAVE FISH; FLOW FIELD ANALYSIS; MOTTLED SCULPIN; COTTUS-BAIRDI; MATHEMATICAL-DESCRIPTION; ANTARCTIC FISH; PLANE SURFACE; NEUROMASTS; BEHAVIOR</t>
  </si>
  <si>
    <t>The mechanosensory lateral line is a distributed, hair-cell based system which detects the water flow regime at the surface of the fish. Superficial neuromasts densely scattered over the surface of some cave fish detect the pattern of flow over the surface of the body and are important in rheotactic behaviors and perhaps in the localization of small vibrating sources. Canal neuromasts are very likely also involved in the detection of small planktonic prey, but seem also to play an essential role in replacing vision as the major sense by which blind cave-fish perceive their surroundings. The flow-field that exists around a gliding fish is perturbed by objects in the immediate vicinity, these perturbations are detected by the lateral line system. In this way the fish can build up a 'picture' of its environment, a process that has been called active hydrodynamic imaging. None of the lateral line behaviors exhibited by blind cave fish are necessarily exclusive to these species, but there is some evidence that their lateral line capabilities are enhanced with respect to their sighted relatives.</t>
  </si>
  <si>
    <t>Univ Auckland, Sch Biol Sci, Auckland 1, New Zealand; Loyola Univ, Dept Biol, Chicago, IL 60626 USA</t>
  </si>
  <si>
    <t>University of Auckland; Loyola University Chicago</t>
  </si>
  <si>
    <t>Montgomery, JC (corresponding author), Univ Auckland, Sch Biol Sci, Private Bag 92019, Auckland 1, New Zealand.</t>
  </si>
  <si>
    <t>Montgomery, John/D-4310-2009</t>
  </si>
  <si>
    <t>Montgomery, John/0000-0002-7451-3541</t>
  </si>
  <si>
    <t>KLUWER ACADEMIC PUBL</t>
  </si>
  <si>
    <t>DORDRECHT</t>
  </si>
  <si>
    <t>SPUIBOULEVARD 50, PO BOX 17, 3300 AA DORDRECHT, NETHERLANDS</t>
  </si>
  <si>
    <t>0378-1909</t>
  </si>
  <si>
    <t>ENVIRON BIOL FISH</t>
  </si>
  <si>
    <t>Environ. Biol. Fishes</t>
  </si>
  <si>
    <t>1-3</t>
  </si>
  <si>
    <t>10.1023/A:1011873111454</t>
  </si>
  <si>
    <t>472PV</t>
  </si>
  <si>
    <t>WOS:000170993700005</t>
  </si>
  <si>
    <t>Tsigos, I; Mavromatis, K; Tzanodaskalaki, M; Pozidis, C; Kokkinidis, M; Bouriotis, V</t>
  </si>
  <si>
    <t>Engineering the properties of a cold active enzyme through rational redesign of the active site</t>
  </si>
  <si>
    <t>EUROPEAN JOURNAL OF BIOCHEMISTRY</t>
  </si>
  <si>
    <t>alkaline phosphatase; cold adaptation; psychrophiles; psychrophilic microorganisms; structural flexibility</t>
  </si>
  <si>
    <t>ALKALINE-PHOSPHATASE; CONFORMATIONAL FLEXIBILITY; PSYCHROPHILIC ENZYMES; CRYSTAL-STRUCTURES; ADAPTATION; DEHYDROGENASE; MUTAGENESIS; BACTERIUM; MECHANISM; EVOLUTION</t>
  </si>
  <si>
    <t>In an effort to explore the effects of local flexibility on the cold adaptation of enzymes, we designed point mutations aiming to modify side-chain flexibility at the active site of the psychrophilic alkaline phosphatase from the Antarctic strain TAB5. The mutagenesis targets were residues Trp260 and Ala219 of the catalytic site and His135 of the Mg2+ binding site. The replacement of Trp260 by Lys in mutant W260K, resulted in an enzyme less active than the wild-type in the temperature range 5-25 degreesC. The additional replacement of Ala219 by Asn in the double mutant W260K/A219N, resulted in a drastic increase in the energy of activation, which was reflected in a considerably decreased activity at temperatures of 5-15 degreesC and a significantly increased activity at 20-25 degreesC. Further substitution of His135 by Asp in the triple mutant W260K/A219N/H135D restored a low energy of activation. In addition, the His135--&gt;Asp replacement in mutants H135D and W260K/A219N/ H135D resulted in considerable stabilization. These results suggest that the psychrophilic character of mutants can be established or masked by very slight variations of the wildtype sequence, which may affect active site flexibility through changes in various conformational constraints.</t>
  </si>
  <si>
    <t>Univ Crete, Dept Biol, Div Appl Biol &amp; Biotechnol, Iraklion 71110, Greece; Univ Crete, Inst Mol Biol &amp; Biotechnol, Enzyme Technol Div, Iraklion 71110, Greece; Univ Crete, Inst Mol Biol &amp; Biotechnol, Crystallog Div, Iraklion 71110, Greece</t>
  </si>
  <si>
    <t>University of Crete; University of Crete; University of Crete</t>
  </si>
  <si>
    <t>Bouriotis, V (corresponding author), Univ Crete, Dept Biol, Div Appl Biol &amp; Biotechnol, POB 1470, Iraklion 71110, Greece.</t>
  </si>
  <si>
    <t>Pozidis, Charalambos/JEP-4847-2023</t>
  </si>
  <si>
    <t>Pozidis, Charalambos/0000-0001-7467-1980</t>
  </si>
  <si>
    <t>0014-2956</t>
  </si>
  <si>
    <t>EUR J BIOCHEM</t>
  </si>
  <si>
    <t>Eur. J. Biochem.</t>
  </si>
  <si>
    <t>10.1046/j.0014-2956.2001.02432.x</t>
  </si>
  <si>
    <t>Biochemistry &amp; Molecular Biology</t>
  </si>
  <si>
    <t>482PQ</t>
  </si>
  <si>
    <t>WOS:000171584800008</t>
  </si>
  <si>
    <t>Corsaro, MM; Lanzetta, R; Parrilli, E; Parrilli, M; Tutino, ML</t>
  </si>
  <si>
    <t>Structural investigation on the lipooligosaccharide fraction of psychrophilic Pseudoalteromonas haloplanktis TAC 125 bacterium</t>
  </si>
  <si>
    <t>psychrophilic; lipopolysaccharide; Pseudoalteromonas haloplanktis</t>
  </si>
  <si>
    <t>LIPOPOLYSACCHARIDES; STRAIN</t>
  </si>
  <si>
    <t>The core structure of the cell-wall lipooligosaccharide (LOS) fraction of an Antarctic Gram-negative bacterium, Pseudoalteromonas haloplanktis TAC 125 strain, was determined to be deacetylated alditols. These were obtained from native LOS fraction by O-deacylation, dephosphorylation, reduction and finally N-deacylation. Two novel structures were detected, the more highly represented molecule consisting of the following hexasaccharide chain: alpha -D-ManpNH(2)-(1--&gt;3)-beta -D-Galp-(1--&gt;4)-alpha -L-glycero-D-manno-Hepp-(1--&gt;5)-alpha -D-Kdo(2--&gt;6)-beta -D-GlcpNH(2)-(1--&gt;6)-D-GlcNH(2)(ol) while the corresponding pentasaccharide, lacking the ManpNH(2) residue, was less abundant. To the best of our knowledge, the structural investigation presented here, mainly performed by NMR and MS methods, is the first report of the lipopolysaccharide fraction of a psychrophilic bacterium.</t>
  </si>
  <si>
    <t>Univ Naples Federico II, Dipartimento Chim Organ &amp; Biochim, I-80126 Naples, Italy</t>
  </si>
  <si>
    <t>University of Naples Federico II</t>
  </si>
  <si>
    <t>Univ Naples Federico II, Dipartimento Chim Organ &amp; Biochim, Complesso Univ Monte S Angelo,Via Cynthia 4, I-80126 Naples, Italy.</t>
  </si>
  <si>
    <t>corsaro@unina.it</t>
  </si>
  <si>
    <t>TUTINO, MARIA LUISA/L-1834-2013; parrilli, ermenegilda/K-4616-2016; parrilli, ermenegilda/JAZ-0586-2023; Corsaro, Maria Michela/T-6190-2019</t>
  </si>
  <si>
    <t>parrilli, ermenegilda/0000-0002-9002-5409; Corsaro, Maria Michela/0000-0002-6834-8682; Parrilli, Michelangelo/0000-0001-8858-3623; LANZETTA, Rosa/0000-0002-1472-5825; Tutino, Maria Luisa/0000-0002-4978-6839</t>
  </si>
  <si>
    <t>10.1046/j.0014-2956.2001.02435.x</t>
  </si>
  <si>
    <t>WOS:000171584800010</t>
  </si>
  <si>
    <t>Berg, ICH; Kalfas, S; Malmsten, M; Arnebrant, T</t>
  </si>
  <si>
    <t>Proteolytic degradation of oral biofilms in vitro and in vivo:: potential of proteases originating from Euphausia superba for plaque control</t>
  </si>
  <si>
    <t>EUROPEAN JOURNAL OF ORAL SCIENCES</t>
  </si>
  <si>
    <t>krill; adhesion; dental plaque; proteases; pellicle</t>
  </si>
  <si>
    <t>SURFACE-FREE-ENERGY; DENTAL PLAQUE; MICROBIAL COLONIZATION; STREPTOCOCCUS-MUTANS; BACTERIAL ADHERENCE; SERINE PROTEINASES; DENTURE PLAQUE; TOOTH SURFACES; WHOLE SALIVA; ADSORPTION</t>
  </si>
  <si>
    <t>This paper deals with enzymatic removal of dental plaque, in vitro as well as in vivo, using proteases from the Antarctic krill shrimp (Euphausia superba), referred to as Krillase (R). Krillase exhibits both endo- and exopeptidase activity but has no microbicidal effect. In model systems with pure cultures of oral microorganisms, Krillase demonstrated inhibition of microbial adhesion to saliva-coated hydroxyapatite. Furthermore, a protocol for the growth of reproducible in vitro plaque films has been developed, and effects of Krillase on the plaque film were investigated by means of scanning electron microscopy (SEM). The results showed that Krillase efficiently released microorganisms from plaque in vitro, the effect being dependent on the enzymatic activity. The surface energy of the substratum had a minor influence on the formation and removal of plaque in vitro. Ellipsometric studies on the formation and enzymatic removal of a salivary pellicle indicated that the enzymatic effect on plaque may partly depend on degradation of the salivary pellicle. Krillase was also able to remove plaque accumulated oil dentures in vivo. Our results demonstrate the potential or Krillase for plaque control, and that these enzymes are worthy of further investigations including clinical studies and work to find a suitable vehicle.</t>
  </si>
  <si>
    <t>YKI, Inst Surface Chem, SE-11486 Stockholm, Sweden; Umea Univ, Sch Dent, Dept Oral Microbiol, Umea, Sweden; Aristotelian Univ Thessaloniki, Sch Dent, Dept Prevent Dent Periodontol &amp; Implant Biol, GR-54006 Thessaloniki, Greece; Royal Inst Technol, Dept Chem Surface Chem, Stockholm, Sweden; Malmo Univ, Fac Odontol, Dept Prosthet Dent, Malmo, Sweden</t>
  </si>
  <si>
    <t>Umea University; Aristotle University of Thessaloniki; Royal Institute of Technology; Malmo University</t>
  </si>
  <si>
    <t>Berg, ICH (corresponding author), YKI, Inst Surface Chem, Box 5607, SE-11486 Stockholm, Sweden.</t>
  </si>
  <si>
    <t>cecilia.hahnberg@surfchem.kth.se</t>
  </si>
  <si>
    <t>0909-8836</t>
  </si>
  <si>
    <t>1600-0722</t>
  </si>
  <si>
    <t>EUR J ORAL SCI</t>
  </si>
  <si>
    <t>Eur. J. Oral Sci.</t>
  </si>
  <si>
    <t>Dentistry, Oral Surgery &amp; Medicine</t>
  </si>
  <si>
    <t>484PP</t>
  </si>
  <si>
    <t>WOS:000171699000005</t>
  </si>
  <si>
    <t>Zecchinon, L; Claverie, P; Collins, T; D'Amico, S; Delille, D; Feller, G; Georlette, D; Gratia, E; Hoyoux, A; Meuwis, MA; Sonan, G; Gerday, C</t>
  </si>
  <si>
    <t>Did psychrophilic enzymes really win the challenge?</t>
  </si>
  <si>
    <t>EXTREMOPHILES</t>
  </si>
  <si>
    <t>3rd International Congress on Extremophiles</t>
  </si>
  <si>
    <t>HAMBURG, GERMANY</t>
  </si>
  <si>
    <t>psychrophile; cold-adaptation; enzyme; flexibility; microcalorimetry; directed evolution; biotechnological tools</t>
  </si>
  <si>
    <t>SITE-DIRECTED MUTAGENESIS; NORTH-ATLANTIC SALMON; COLD ADAPTATION; ALPHA-AMYLASE; 3-ISOPROPYLMALATE DEHYDROGENASE; CONFORMATIONAL FLEXIBILITY; ALTEROMONAS-HALOPLANCTIS; PHOSPHOGLYCERATE KINASE; MOLECULAR ADAPTATION; ANTARCTIC BACTERIUM</t>
  </si>
  <si>
    <t>Organisms living in permanently cold environments, which actually represent the greatest proportion of our planet, display at low temperatures metabolic fluxes comparable to those exhibited by mesophilic organisms at moderate temperatures. They produce cold-evolved enzymes partially able to cope with the reduction in chemical reaction rates and the increased viscosity of the medium induced by low temperatures. In most cases, the adaptation is achieved through a reduction in the activation energy, leading to a high catalytic efficiency, which possibly originates from an increased flexibility of either a selected area of or the overall protein structure. This enhanced plasticity seems in return to be responsible for the weak thermal stability of cold enzymes. These particular properties render cold enzymes particularly useful in investigating the possible relationships existing between stability, flexibility, and specific activity and make them potentially unrivaled for numerous biotechnological tasks. In most cases, however, the adaptation appears to be far from being fully achieved.</t>
  </si>
  <si>
    <t>Univ Liege, Biochem Lab, Inst Chem B6, B-4000 Liege, Belgium; CNRS, VA117, Observ Oceanol Banyuls, F-75700 Paris, France</t>
  </si>
  <si>
    <t>University of Liege; Sorbonne Universite; Centre National de la Recherche Scientifique (CNRS)</t>
  </si>
  <si>
    <t>Gerday, C (corresponding author), Univ Liege, Biochem Lab, Inst Chem B6, B-4000 Liege, Belgium.</t>
  </si>
  <si>
    <t>Daniel, Delille/S-9542-2019; Collins, Tony/A-3484-2012</t>
  </si>
  <si>
    <t>Collins, Tony/0000-0002-4167-973X</t>
  </si>
  <si>
    <t>1431-0651</t>
  </si>
  <si>
    <t>Extremophiles</t>
  </si>
  <si>
    <t>10.1007/s007920100207</t>
  </si>
  <si>
    <t>Biochemistry &amp; Molecular Biology; Microbiology</t>
  </si>
  <si>
    <t>483TL</t>
  </si>
  <si>
    <t>WOS:000171651900004</t>
  </si>
  <si>
    <t>Pike, J; Bernhard, JM; Moreton, SG; Butler, IB</t>
  </si>
  <si>
    <t>Microbioirrigation of marine sediments in dysoxic environments: Implications for early sediment fabric formation and diagenetic processes</t>
  </si>
  <si>
    <t>GEOLOGY</t>
  </si>
  <si>
    <t>bioturbation; Santa Barbara basin; Palmer Deep; laminations; geochemistry</t>
  </si>
  <si>
    <t>SANTA-BARBARA BASIN; SOLUTE TRANSPORT; EARLY TOARCIAN; MICROELECTRODE; FORAMINIFERA; MICROSCOPY; PATHWAYS; SLOPE; FE; PH</t>
  </si>
  <si>
    <t>It is manifest in the study of dysoxic sediments from the geological record that infaunal burrowing is considered so severely limited by the lack of dissolved oxygen as to be nonexistent. Although the effects of megafauna and macrofauna on sedimentary and geochemical processes are well known, the effects of meiofauna are largely ignored. Here we document abundant meiofauna in the recent severely dysoxic, laminated sediments from the Santa Barbara basin, California margin, and also microcavities and microtunnels in laminated deglacial sediments from Palmer Deep, west Antarctic Peninsula, that we interpret to be open, relict nematode burrows. Santa Barbara basin box-core subcores were sieved to quantify metazoan abundance, and others were embedded with resin for examination of meiofaunal life positions using confocal microscopy. Metazoan densities in the surface centimeters of sediment range from 80.7 to 117.9 cm(-3), and nematode populations, together with their abundant burrows, remain quite high to at least 3 cm. Scanning electron microscope analysis of fractured surfaces in Palmer Deep sediments revealed that the rigid diatom ooze framework aids the preservation of similar to 50 mum diameter open nematode burrows. These structures were observed to at least 40 m below the seafloor surface. This is the first description of a nematode-produced open burrow network preserved in the geological record. Optical microscopy of resin-embedded thin sections revealed widespread sediment redistribution without significant lamina disruption. The implications of abundant nematode burrows in surface sediments, and their preservation in the geological record, are wide ranging for both modern and ancient dysoxic marine environments, including for determining early sediment fabric production, geochemical processes, and diagenetic reactions in the oxic and suboxic zones.</t>
  </si>
  <si>
    <t>Cardiff Univ, Dept Earth Sci, Cardiff CF10 3YE, S Glam, Wales; Univ S Carolina, Dept Environm Hlth Sci, Columbia, SC 29208 USA</t>
  </si>
  <si>
    <t>Cardiff University; University of South Carolina System; University of South Carolina Columbia</t>
  </si>
  <si>
    <t>Cardiff Univ, Dept Earth Sci, POB 914, Cardiff CF10 3YE, S Glam, Wales.</t>
  </si>
  <si>
    <t>Moreton, Steven G/C-2373-2009; Pike, Jennifer/D-2589-2009; Bernhard, Joan/M-3260-2013</t>
  </si>
  <si>
    <t>Moreton, Steven G/0000-0002-8030-2433; Pike, Jennifer/0000-0001-9415-6003; Bernhard, Joan/0000-0003-2121-625X</t>
  </si>
  <si>
    <t>GEOLOGICAL SOC AMER, INC</t>
  </si>
  <si>
    <t>PO BOX 9140, BOULDER, CO 80301-9140 USA</t>
  </si>
  <si>
    <t>0091-7613</t>
  </si>
  <si>
    <t>1943-2682</t>
  </si>
  <si>
    <t>10.1130/0091-7613(2001)029&lt;0923:MOMSID&gt;2.0.CO;2</t>
  </si>
  <si>
    <t>479UG</t>
  </si>
  <si>
    <t>WOS:000171421500013</t>
  </si>
  <si>
    <t>Müller, C</t>
  </si>
  <si>
    <t>Upper mantle seismic anisotropy beneath Antarctica and the Scotia Sea region</t>
  </si>
  <si>
    <t>Antarctica; asthenospheric mantle flow; Gondwana break-up; lithospheric deformation; seismic anisotropy; shear wave splitting</t>
  </si>
  <si>
    <t>DRONNING-MAUD-LAND; AZIMUTHAL ANISOTROPY; BRANSFIELD STRAIT; PARALLEL; PLATE; DEFORMATION; MAGMATISM; PATTERNS; ISLANDS; WAVES</t>
  </si>
  <si>
    <t>Recent investigations on shear wave splitting from recordings of permanent and temporary Antarctic seismological stations have lead to a greater understanding of the upper mantle dynamics of the Scotia Sea region and the continental margin in the eastern Weddell Sea in terms of their tectonic evolution. The analysis of shear wave splitting from teleseismic core (SKS, SKKS. PKS) and direct S waves reveals the seismic anisotropy and the strain field of the upper mantle. Similar to the Caribbean, anisotropy structures in the Antarctic Peninsula and Scotia Sea regions are assumed to be influenced by mantle flows in easterly directions around the subducting Nazca plate. In general, anisotropy polarization directions in the Scotia Sea do not contradict this hypothesis, with polarizations oriented nearly E-W and therefore aligning with the suggested mantle flow patterns, Anisotropy strengths decrease from delay times of deltat = 1.8 s (PMSA, Palmer Station) in the west towards the east with delay times of deltat = 0.3 s beneath HOPE (South Georgia) and CAND (Candlemas, South Sandwich Islands). Nevertheless, a lithospheric and therefore fossil origin cannot be ruled out. Only the exceptionally high delay times at PMSA probably originate in part from recent asthenospheric flow around the subduction slab of the former Phoenix Plate beneath the northwestern margin of the Antarctic Peninsula. The continental margin of western Dronning Maud and Coats Land plays a crucial role in understanding the early processes during the break-LIP Of Gondwana. Upper mantle seismic anisotropy with delay times well over deltat = 1 s in this region gives new constraints on ancient deformation processes during break-Lip and former episodes. Two-layer modelling reveals Archaean anisotropy in the upper laver corresponding well to polarization directions of the South African Kaapvaal Craton. Lower layer anisotropy is assumed to have been created during early Gondwana rifting stages.</t>
  </si>
  <si>
    <t>Alfred Wegener Inst Polar &amp; Marine Res, D-27515 Bremerhaven, Germany</t>
  </si>
  <si>
    <t>cmueller@awi-bremerhaven.de</t>
  </si>
  <si>
    <t>10.1046/j.1365-246X.2001.00517.x</t>
  </si>
  <si>
    <t>484ME</t>
  </si>
  <si>
    <t>WOS:000171693500010</t>
  </si>
  <si>
    <t>Mauldin, RL; Eisele, FL; Tanner, DJ; Kosciuch, E; Shetter, R; Lefer, B; Hall, SR; Nowak, JB; Buhr, M; Chen, G; Wang, P; Davis, D</t>
  </si>
  <si>
    <t>Measurements of OH, H2SO4, and MSA at the South Pole during ISCAT</t>
  </si>
  <si>
    <t>RECORD; MODEL</t>
  </si>
  <si>
    <t>The first measurements of OH, H2SO4, and MSA performed at the South Pole as part of the Investigation of Sulfur Chemistry in the Antarctic Troposphere (ISCAT) study are presented. OH concentrations were found to be quite elevated for such a dry environment, with average values of 2x10(6) molecule cm(-3). Model simulations suggest that much of the observed OH is a result of unexpectedly high NO concentrations. Concentrations of H2SO4 and MSA were generally low with average values of 2.5x10(5) and 1x10(5) molecule cm(-3), respectively. Major variations in the concentration levels of the above species were found to have a high correlation with changes in the polar mixing layer as estimated from the measured temperature difference from 22 to 2m above the snow surface. Chemical details are discussed.</t>
  </si>
  <si>
    <t>Natl Ctr Atmospher Res, Div Atmospher Chem, Boulder, CO 80305 USA; Georgia Inst Technol, Sch Earth &amp; Atmospher Sci, Atlanta, GA 30332 USA; Sononma Technol Inc, Golden, CO 80403 USA</t>
  </si>
  <si>
    <t>National Center Atmospheric Research (NCAR) - USA; University System of Georgia; Georgia Institute of Technology</t>
  </si>
  <si>
    <t>Mauldin, RL (corresponding author), Natl Ctr Atmospher Res, Div Atmospher Chem, 1850 Table Mesa, Boulder, CO 80305 USA.</t>
  </si>
  <si>
    <t>Lefer, Barry L/B-5417-2012; Lefer, Barry/X-9091-2019; Nowak, John/B-1085-2008; Hall, Samuel/AAG-9516-2020</t>
  </si>
  <si>
    <t>Lefer, Barry L/0000-0001-9520-5495; Lefer, Barry/0000-0001-9520-5495; Nowak, John/0000-0002-5697-9807; Hall, Samuel/0000-0002-2060-7112</t>
  </si>
  <si>
    <t>OCT 1</t>
  </si>
  <si>
    <t>10.1029/2000GL012711</t>
  </si>
  <si>
    <t>476GF</t>
  </si>
  <si>
    <t>WOS:000171217300002</t>
  </si>
  <si>
    <t>Crawford, JH; Davis, DD; Chen, G; Buhr, M; Oltmans, S; Weller, R; Mauldin, L; Eisele, F; Shetter, R; Lefer, B; Arimoto, R; Hogan, A</t>
  </si>
  <si>
    <t>Evidence for photochemical production of ozone at the South Pole surface</t>
  </si>
  <si>
    <t>TROPOSPHERIC OZONE; ANTARCTICA; SNOW</t>
  </si>
  <si>
    <t>Observations of OH, NO, and actinic flux at the South Pole surface during December 1998 suggest a surprisingly active photochemical environment which should result in photochemical production of ozone. Long-term South Pole in situ ozone data as well as sonde data also appear to support this conclusion. Other possible factors contributing to ozone variability such as stratospheric influence and the origin of air transported to the South Pole are also explored. Based on box model calculations it is estimated that photochemistry could add 2.2 to 3.6 ppbv/day of ozone to surface air parcels residing on the Antarctic polar plateau. Although the oxidizing potential of the polar plateau appears to be exceptionally high for a remote site, it is unlikely that it has a significant impact on surrounding regions such as the Southern Ocean and the Antarctic free troposphere. These new findings do suggest, however, that the enhanced oxidizing power of the polar plateau may need to be considered in interpreting the chemical history of climate proxy species in ice cores.</t>
  </si>
  <si>
    <t>NASA, Langley Res Ctr, Hampton, VA 23681 USA; Georgia Inst Technol, Sch Earth &amp; Atmospher Sci, Atlanta, GA 30332 USA; NOAA, Climate Monitoring &amp; Diagnost Lab, Boulder, CO 80303 USA; Alfred Wegener Inst Polar &amp; Marine Res, D-27570 Bremerhaven, Germany; Natl Ctr Atmospher Res, Div Atmospher Chem, Boulder, CO 80305 USA; New Mexico State Univ, Carlsbad Environm Monitoring &amp; Res Ctr, Carlsbad, NM 88220 USA; USA, Cold Reg Res &amp; Engn Lab, Hanover, NH 03755 USA; Sonoma Technol Inc, Golden, CO USA</t>
  </si>
  <si>
    <t>National Aeronautics &amp; Space Administration (NASA); NASA Langley Research Center; University System of Georgia; Georgia Institute of Technology; National Oceanic Atmospheric Admin (NOAA) - USA; Helmholtz Association; Alfred Wegener Institute, Helmholtz Centre for Polar &amp; Marine Research; National Center Atmospheric Research (NCAR) - USA; New Mexico State University; United States Department of Defense; United States Army; U.S. Army Corps of Engineers; U.S. Army Engineer Research &amp; Development Center (ERDC); Cold Regions Research &amp; Engineering Laboratory (CRREL)</t>
  </si>
  <si>
    <t>Crawford, JH (corresponding author), NASA, Langley Res Ctr, 21 Langley Blvd, Hampton, VA 23681 USA.</t>
  </si>
  <si>
    <t>Oltmans, Samuel/AAC-8987-2022; Lefer, Barry/X-9091-2019; Lefer, Barry L/B-5417-2012; Crawford, James/L-6632-2013</t>
  </si>
  <si>
    <t>Lefer, Barry/0000-0001-9520-5495; Lefer, Barry L/0000-0001-9520-5495; Crawford, James/0000-0002-6982-0934</t>
  </si>
  <si>
    <t>10.1029/2001GL013055</t>
  </si>
  <si>
    <t>WOS:000171217300005</t>
  </si>
  <si>
    <t>Arimoto, R; Nottingham, AS; Webb, J; Schloesslin, CA; Davis, DD</t>
  </si>
  <si>
    <t>Non-sea salt sulfate and other aerosol constituents at the South Pole during ISCAT</t>
  </si>
  <si>
    <t>COASTAL ANTARCTIC AEROSOL; PALMER STATION; SULFUR; METHANESULFONATE; DIMETHYLSULFIDE; EMISSIONS; ELEMENTS; MAWSON; RECORD; H2SO4</t>
  </si>
  <si>
    <t>Bulk aerosol samples collected at the South Pole were analyzed for Na, SO42-, Cl-, NO3-, methanesulfonate (MSA), Pb-210 and Po-210. Sea salt concentrations were relatively high compared with previous reports, with Na, averaging 45 ng m(-3). Chloride was depleted, by similar to 65% compared with its ratio to Na in seawater. Non-sea salt sulfate (NSS) avera, ged 212 ng m-, and less than 5% of the sulfate was from sea salt. The mean concentration of MSA (an indicator of marine biogenic sulfur) was 12 ng m(-3), and the MSA/NSS mass ratio (0.059) was similar to that in Antarctic ice. Although MSA and NSS were correlated, the data set is not sufficiently robust to draw a quantitative conclusion concerning the fraction of NSS that is biogenic. Data for Po-210 and Pb-210 showed no evidence for strong volcanic influences on sulfate, and NSS also was not correlated with NO3-, a possible tracer of continental emissions.</t>
  </si>
  <si>
    <t>New Mexico State Univ, Carlsbad Environm Monitoring &amp; Res Ctr, Carlsbad, NM 88220 USA; Georgia Inst Technol, Sch Earth &amp; Atmospher Sci, Atlanta, GA 30332 USA</t>
  </si>
  <si>
    <t>New Mexico State University; University System of Georgia; Georgia Institute of Technology</t>
  </si>
  <si>
    <t>New Mexico State Univ, Carlsbad Environm Monitoring &amp; Res Ctr, Carlsbad, NM 88220 USA.</t>
  </si>
  <si>
    <t>arimoto@cemrc.org</t>
  </si>
  <si>
    <t>10.1029/2000GL012714</t>
  </si>
  <si>
    <t>WOS:000171217300006</t>
  </si>
  <si>
    <t>Baba, K; Wakatsuchi, M</t>
  </si>
  <si>
    <t>Eastward propagation of the intraseasonal variability of sea ice and the atmospheric field in the marginal ice zone in the Antarctic</t>
  </si>
  <si>
    <t>OSCILLATIONS</t>
  </si>
  <si>
    <t>We investigate the intraseasonal variability of the sea-ice concentration in the Antarctic marginal ice zone (MIZ), using daily sea-ice and atmospheric data for eight winters (1990-97). From 5-31 day band-pass filtered sea-ice concentration data for the whole sea-ice region, it is clearly shown that the lower-latitude MIZ has the maximum intraseasonal variability, taking the form of a narrow, circumpolar belt with alternately increasing and decreasing areas. This coherent pattern propagates eastward as a wave. A similar wave also appeared for the atmospheric field around the MIZ. The eastward propagating waves for sea-ice and the atmosphere have almost same properties, a wavenumber of 2-4, a period of 10-15 days, and a phase velocity of 10-18 degrees/day. The common propagating signatures suggest a close relationship between the intraseasonal variability of sea-ice and atmospheric field in the Antarctic MIZ in winter.</t>
  </si>
  <si>
    <t>Hokkaido Univ, Grad Sch Environm Earth Sci, Sapporo, Hokkaido 0600810, Japan; Hokkaido Univ, Inst Low Temp Sci, Sapporo, Hokkaido 0600819, Japan</t>
  </si>
  <si>
    <t>Hokkaido University; Hokkaido University</t>
  </si>
  <si>
    <t>Hokkaido Univ, Grad Sch Environm Earth Sci, Sapporo, Hokkaido 0600810, Japan.</t>
  </si>
  <si>
    <t>kbaba@lowtem.hokudai.ac.jp; masaakiw@lowtem.hokudai.ac.jp</t>
  </si>
  <si>
    <t>BABA, Kenji/0000-0002-3515-7695</t>
  </si>
  <si>
    <t>10.1029/2001GL013219</t>
  </si>
  <si>
    <t>WOS:000171217300012</t>
  </si>
  <si>
    <t>Nihashi, S; Ohshima, KI</t>
  </si>
  <si>
    <t>Relationship between the sea ice cover in the retreat and advance seasons in the Antarctic Ocean</t>
  </si>
  <si>
    <t>VARIABILITY; TEMPERATURE; EXTENT</t>
  </si>
  <si>
    <t>Relationship between ice concentrations in the retreat (December) and advance (April) seasons is investigated in the Antarctic Ocean using SMMR and SSM/I data. For most years, the negative (positive) anomalies in ice concentration in the retreat season lead to the negative (positive) anomalies in the next advance season with strong correlation. This positive feedback can be regarded as icealbedo feedback in a coupled ice-ocean system. In the retreat season, net heat input into the upper ocean from the atmosphere becomes maximum and is mostly determined by ice concentration. Because of large interannual variation of -ice concentration in the retreat season, the anomaly in the heat input becomes tremendous. It is inferred that this anomaly is memorized in the ocean, and then affects the next advance of sea ice, skipping over the open ocean period (February-March). This process can partly explain the interannual variation of the sea ice cover.</t>
  </si>
  <si>
    <t>Hokkaido Univ, Inst Low Temp Sci, Sapporo, Hokkaido 0600819, Japan; Hokkaido Univ, Grad Sch Environm Earth Sci, Sapporo, Hokkaido 0600819, Japan</t>
  </si>
  <si>
    <t>Nihashi, S (corresponding author), Hokkaido Univ, Inst Low Temp Sci, Sapporo, Hokkaido 0600819, Japan.</t>
  </si>
  <si>
    <t>Ohshima, Kay I/D-6909-2012</t>
  </si>
  <si>
    <t>10.1029/2001GL012842</t>
  </si>
  <si>
    <t>WOS:000171217300014</t>
  </si>
  <si>
    <t>Hindmarsh, RCA</t>
  </si>
  <si>
    <t>Influence of channelling on heating in ice-sheet flows</t>
  </si>
  <si>
    <t>STREAM; ANTARCTICA; DYNAMICS; MARGINS; MODEL</t>
  </si>
  <si>
    <t>Ice-sheet flows can be channelled by perturbations in the basal topography or in the sliding coefficient. These lead to spatial variation in the steady profile, the flux and the dissipative heating. This paper examines the linearized theory of heating variations, showing that the map plane aspect ratio of the basal perturbation has a dominating effect on the qualitative behaviour. For ribbing transverse to the direction of flow, maximum heating occurs over bedrock and sliding viscosity highs. When flow-parallel channelling occurs maximum heating occurs over bedrock lows and sliding viscosity lows, These results are used to examine symmetry-breaking behaviour of numerical thermoviscous ice-sheet models in terms of a dissipation-driven creep instability.</t>
  </si>
  <si>
    <t>Hindmarsh, RCA (corresponding author), British Antarctic Survey, NERC, High Cross,Madingley Rd, Cambridge CB3 0ET, England.</t>
  </si>
  <si>
    <t>Hindmarsh, Richard/N-1195-2019</t>
  </si>
  <si>
    <t>Hindmarsh, Richard/0000-0003-1633-2416</t>
  </si>
  <si>
    <t>10.1029/2000GL012666</t>
  </si>
  <si>
    <t>Green Accepted</t>
  </si>
  <si>
    <t>WOS:000171217300015</t>
  </si>
  <si>
    <t>Sexton, DMH</t>
  </si>
  <si>
    <t>The effect of stratospheric ozone depletion on the phase of the Antarctic Oscillation</t>
  </si>
  <si>
    <t>GENERAL-CIRCULATION MODEL; SOUTHERN-HEMISPHERE; CLIMATE-CHANGE; EXTRATROPICAL CIRCULATION; ANNULAR MODES; TEMPERATURE; TRENDS; PREDICTABILITY</t>
  </si>
  <si>
    <t>The effect of stratospheric ozone loss on Southern Hemispheric extratropical circulation is explored using an atmosphere-only model. The main tropospheric response is a sudden shift in the leading mode of month-to-month variability, the Antarctic Oscillation, during November and December towards its high phase. Therefore, this change consists of a shift in atmospheric mass from high-latitudes poleward of 60 degreesS to a midlatitude band centred on 45 degreesS. This response provides a plausible explanation for the increase in westerly circulation at 60 degreesS observed since the early 1980's. There is also a strong response in January-March but this may be unrealistic as the observed lower stratospheric temperature changes are poorly simulated in that season.</t>
  </si>
  <si>
    <t>Hadley Ctr Climate Predict &amp; Res, Met Off, Bracknell RG12 2SY, Berks, England</t>
  </si>
  <si>
    <t>Met Office - UK; Hadley Centre</t>
  </si>
  <si>
    <t>Sexton, DMH (corresponding author), Hadley Ctr Climate Predict &amp; Res, Met Off, London Rd, Bracknell RG12 2SY, Berks, England.</t>
  </si>
  <si>
    <t>10.1029/2001GL013376</t>
  </si>
  <si>
    <t>WOS:000171217300019</t>
  </si>
  <si>
    <t>Mackensen, A; Rudolph, M; Kuhn, G</t>
  </si>
  <si>
    <t>Late Pleistocene deep-water circulation in the subantarctic eastern Atlantic</t>
  </si>
  <si>
    <t>GLOBAL AND PLANETARY CHANGE</t>
  </si>
  <si>
    <t>Late Pleistocene; Atlantic; deep-water circulation</t>
  </si>
  <si>
    <t>LAST GLACIAL MAXIMUM; SEA BENTHIC FORAMINIFERA; SOUTHERN-OCEAN; NORTH-ATLANTIC; BOTTOM WATER; WEDDELL SEA; THERMOHALINE CIRCULATION; PLANKTONIC-FORAMINIFERA; CARBON ISOTOPES; CADMIUM</t>
  </si>
  <si>
    <t>We present three new benthic foraminiferal delta(13)C, delta(18)O, and total organic carbon time series from the eastern Atlantic sector of the Southern Ocean between 41degreesS and 47degreesS. The measured glacial delta(13)C values belong to the lowest hitherto reported. We demonstrate a coincidence between depleted late Holocene (LH) delta(13)C values and positions of sites relative to ocean surface productivity. A correction of +0.3 to +0.4 [parts per thousand VPDB] for a productivity-induced depletion of Last Glacial Maximum (LGM) benthic delta(13)C values of these cores is suggested. The new data are compiled with published data from 13 sediment cores from the eastern Atlantic Ocean between 19degreesS and 47degreesS, arid the regional deep and bottom water circulation is reconstructed for LH (4-0 ka) and LGM (22-16 ka) times. This extends earlier eastern Atlantic-wide synoptic reconstructions which suffered from the lack of data south of 20degreesS. A conceptual model of LGM deep-water circulation is discussed that, after correction of southernmost cores below the Antarctic Circumpolar Current (ACC) for a productivity-induced artifact, suggests a reduced formation of both North Atlantic Deep Water in the northern Atlantic and bottom water in the southwestern Weddell Sea. This reduction was compensated for by the formation of deep water in the cone of extended winter sea-ice coverage at the northern rim of the Weddell Sea, where air-sea gas exchange was reduced. This shift from LGM deep-water formation in the region south of the ACC to Holocene bottom water formation in the southwestern Weddell Sea, can explain lower preformed delta(13)C(DIC) values of glacial circumantarctic deep water of approximately 0.3parts per thousand to 0.4parts per thousand. Our reconstruction brings Atlantic and Southern Ocean delta(13)C and Cd/Ca data into better agreement, but is in conflict, however, with a scenario of an essentially unchanged thermohaline deep circulation on a global scale. Benthic delta(18)O-derived LGM bottom water temperatures, by 1.9degreesC and 0.3degreesC lower than during the LH at deepest southern and shallowest northern sites, respectively, agree with the here proposed reconstruction of deep-water circulation in the eastern South Atlantic Ocean. (C) 2001 Elsevier Science B.V. All rights reserved.</t>
  </si>
  <si>
    <t>amackensen@awi-bremerhaven.de</t>
  </si>
  <si>
    <t>; Mackensen, Andreas/J-8600-2013</t>
  </si>
  <si>
    <t>Kuhn, Gerhard/0000-0001-6069-7485; Mackensen, Andreas/0000-0002-5024-4455</t>
  </si>
  <si>
    <t>0921-8181</t>
  </si>
  <si>
    <t>1872-6364</t>
  </si>
  <si>
    <t>GLOBAL PLANET CHANGE</t>
  </si>
  <si>
    <t>Glob. Planet. Change</t>
  </si>
  <si>
    <t>10.1016/S0921-8181(01)00102-3</t>
  </si>
  <si>
    <t>514LB</t>
  </si>
  <si>
    <t>WOS:000173439700002</t>
  </si>
  <si>
    <t>Seidov, D; Barron, E; Haupt, BJ</t>
  </si>
  <si>
    <t>Meltwater and the global ocean conveyor: northern versus southern connections</t>
  </si>
  <si>
    <t>ocean circulation; climate change; global warming; paleoclimate</t>
  </si>
  <si>
    <t>ATLANTIC THERMOHALINE CIRCULATION; LAST GLACIAL MAXIMUM; FRESH-WATER INPUT; CLIMATE-CHANGE; ICEBERG DISCHARGES; WORLD OCEAN; MODEL; STABILITY; SENSITIVITY; INTERMEDIATE</t>
  </si>
  <si>
    <t>The sensitivity of the ocean circulation to changes in North Atlantic surface fluxes has become a major factor in explaining climate variability. The role of the Antarctic Bottom Water in modulating this variability has received much less attention, limiting the development of a complete understanding of decadal to millennial time-scale climate change. New analyses indicate that the southern deepwater source may change dramatically (e.g., experience a decrease of as much as two thirds during last 800 years). Such change can substantially alter the ocean circulation patterns of the last millennium. Additional analyses indicate that the Southern Hemisphere led the Northern Hemisphere changes in some of the glacial cycles of Pleistocene, implying a seesaw-type oscillation of the global ocean conveyor. The potential for melting of sea ice and ice sheets in the Antarctica associated with global warming can cause a further slowdown of the southern deepwater source. These results demand an assessment of the role of the Southern Ocean in driving changes of the global ocean circulation and climate. Systematic model simulation targeting the ocean circulation response to changes in surface salinity in the high latitudes of both Northern and Southern Hemispheres demonstrate that meltwater impacts in one hemisphere may lead to a strengthening of the thermohaline conveyor driven by the source in the opposite hemisphere. This, in turn, leads to significant changes in poleward heat transport. Further, meltwater events can lead to deep-sea warming and thermal expansion of abyssal water, that in turn cause a substantial sea-level change even without a major ice sheet melting. (C) 2001 Elsevier Science B.V. All rights reserved.</t>
  </si>
  <si>
    <t>Penn State Univ, Ctr Earth Syst Sci, University Pk, PA 16802 USA</t>
  </si>
  <si>
    <t>Pennsylvania Commonwealth System of Higher Education (PCSHE); Pennsylvania State University; Pennsylvania State University - University Park</t>
  </si>
  <si>
    <t>Penn State Univ, Ctr Earth Syst Sci, University Pk, PA 16802 USA.</t>
  </si>
  <si>
    <t>dseidov@essc.psu.edu</t>
  </si>
  <si>
    <t>Seidov, Dan/0000-0001-7090-9779</t>
  </si>
  <si>
    <t>10.1016/S0921-8181(00)00087-4</t>
  </si>
  <si>
    <t>WOS:000173439700004</t>
  </si>
  <si>
    <t>Cowen, DF; Andrés, E; Askebjer, P; Bai, X; Barouch, G; Barwick, SW; Bay, RC; Becker, KH; Bergström, L; Bertrand, D; Bierenbaum, D; Biron, A; Booth, J; Botner, O; Bouchta, A; Boyce, MM; Carius, S; Chen, A; Chirkin, D; Conrad, J; Cooley, J; Costa, CGS; Cowen, DF; Dailing, J; Dalberg, E; DeYoung, T; Desiati, P; Dewulf, JP; Doksus, P; Edsjö, J; Ekström, P; Erlandsson, B; Feser, T; Gaug, M; Goldschmidt, A; Goobar, A; Gray, L; Haase, H; Hallgren, A; Halzen, F; Hanson, K; Hardtke, R; He, YD; Hellwig, M; Heukenkamp, H; Hill, GC; Hulth, PO; Hundertmark, S; Jacobsen, J; Kandhadal, V; Karle, A; Kim, J; Koci, B; Köpke, L; Kowalski, M; Leich, H; Leuthold, M; Lindahl, P; Liubarsky, I; Loaiza, P; Lowder, DM; Ludvig, J; Madsen, J; Marciniewski, P; Matis, HS; Mihalyi, A; Mikolajski, T; Miller, TC; Minaeva, Y; Miocinovic, P; Mock, PC; Morse, R; Neunhöffer, T; Newcomer, FM; Niessen, P; Nygren, DR; Ogelman, H; de los Heros, CP; Porrata, R; Price, PB; Rawlins, K; Reed, C; Rhode, W; Richards, A; Richter, S; Martino, JR; Romenesko, P; Ross, D; Rubinstein, H; Sander, HG; Scheider, T; Schmidt, T; Schneider, D; Schneider, E; Schwarz, R; Silvestri, A; Solarz, M; Spiczak, GM; Spiering, C; Starinsky, N; Steele, D; Steffen, P; Stokstad, RG; Streicher, O; Sun, Q; Taboada, I; Thollander, L; Thon, T; Tilav, S; Usechak, N; Donckt, MV; Walck, C; Weinheimer, C; Wiebusch, CH; Wischnewski, R; Wissing, H; Woschnagg, K; Wu, W; Yodh, G; Young, S</t>
  </si>
  <si>
    <t>AMANDA Collaboration</t>
  </si>
  <si>
    <t>Recent results from AMANDA</t>
  </si>
  <si>
    <t>INTERNATIONAL JOURNAL OF MODERN PHYSICS A</t>
  </si>
  <si>
    <t>Meeting of the Division of Particles and Fields of the American-Physical-Society (APS)</t>
  </si>
  <si>
    <t>AUG 09-12, 2000</t>
  </si>
  <si>
    <t>OHIO STATE UNIV, COLUMBUS, OH</t>
  </si>
  <si>
    <t>OHIO STATE UNIV</t>
  </si>
  <si>
    <t>We present results based on data taken in 1997 with the 302-PMT Antarctic Muon and Neutrino Detector Array BID (AMANDA-B10) array. Atmospheric neutrinos created in the northern hemisphere axe observed indirectly through their charged current interactions which produce relativistic, Cherenkov-light-emitting upgoing muons in the South Pole ice cap. The reconstructed angular distribution of these events is in good agreement with expectation and demonstrates the viability of this ice-based device as a neutrino telescope.</t>
  </si>
  <si>
    <t>Univ Wisconsin, Dept Phys, Madison, WI 53706 USA; Univ Delaware, Bartol Res Inst, Newark, DE 19716 USA; Berg Univ Wuppertal, Fachbereich Phys 8, D-42097 Wuppertal, Germany; Free Univ Brussels, Fac Sci, B-1050 Brussels, Belgium; DESY, D-15735 Zeuthen, Germany; Kalmar Univ, Dept Technol, S-39129 Kalmar, Sweden; Univ Calif Berkeley, Lawrence Berkeley Lab, Berkeley, CA 94720 USA; Univ Calif Berkeley, Dept Phys, Berkeley, CA 94720 USA; Univ Calif Irvine, Dept Phys &amp; Astron, Irvine, CA 92697 USA; Johannes Gutenberg Univ Mainz, Inst Phys, D-55099 Mainz, Germany; Univ Penn, Dept Phys &amp; Astron, Philadelphia, PA 19104 USA; Uppsala Univ, Dept Radiat Sci, S-75121 Uppsala, Sweden; Univ Stockholm, Fysikum, S-11385 Stockholm, Sweden</t>
  </si>
  <si>
    <t>University of Wisconsin System; University of Wisconsin Madison; University of Delaware; University of Wuppertal; Universite Libre de Bruxelles; Helmholtz Association; Deutsches Elektronen-Synchrotron (DESY); Linnaeus University; University of Kalmar; United States Department of Energy (DOE); Lawrence Berkeley National Laboratory; University of California System; University of California Berkeley; University of California System; University of California Berkeley; University of California System; University of California Irvine; Johannes Gutenberg University of Mainz; University of Pennsylvania; Uppsala University; Stockholm University</t>
  </si>
  <si>
    <t>Univ Wisconsin, Dept Phys, 1150 Univ Ave, Madison, WI 53706 USA.</t>
  </si>
  <si>
    <t>Kowalski, Marek P/G-5546-2012; DeYoung, Tyce/O-6895-2019; Matis, Howard S/HMV-9747-2023; Gaug, Markus/L-2340-2014; Botner, Olga/A-9110-2013; Wiebusch, Christopher H.V./G-6490-2012; Hundertmark, Stephan/A-6592-2010; Matis, Howard/AAO-2082-2021; Bergström, Lennart/ABH-1143-2021; Hallgren, Allan/A-8963-2013</t>
  </si>
  <si>
    <t>DeYoung, Tyce/0000-0003-4873-3783; Matis, Howard S/0000-0003-0764-4389; Gaug, Markus/0000-0001-8442-7877; Wiebusch, Christopher H.V./0000-0002-6418-3008; Bergström, Lennart/0000-0002-5702-0681;</t>
  </si>
  <si>
    <t>WORLD SCIENTIFIC PUBL CO PTE LTD</t>
  </si>
  <si>
    <t>SINGAPORE</t>
  </si>
  <si>
    <t>5 TOH TUCK LINK, SINGAPORE 596224, SINGAPORE</t>
  </si>
  <si>
    <t>0217-751X</t>
  </si>
  <si>
    <t>1793-656X</t>
  </si>
  <si>
    <t>INT J MOD PHYS A</t>
  </si>
  <si>
    <t>Int. J. Mod. Phys. A</t>
  </si>
  <si>
    <t>1C</t>
  </si>
  <si>
    <t>10.1142/S0217751X01008746</t>
  </si>
  <si>
    <t>Physics, Nuclear; Physics, Particles &amp; Fields</t>
  </si>
  <si>
    <t>Physics</t>
  </si>
  <si>
    <t>514XD</t>
  </si>
  <si>
    <t>WOS:000173465600035</t>
  </si>
  <si>
    <t>Seunarine, S</t>
  </si>
  <si>
    <t>RICE Collaboration</t>
  </si>
  <si>
    <t>Status of the Radio Ice Cerenkov Experiment (RICE)</t>
  </si>
  <si>
    <t>OHIO STATE UNIV, COLUMBUS, OHIO</t>
  </si>
  <si>
    <t>ENERGY</t>
  </si>
  <si>
    <t>Ultra-high energy(E-nu &gt; 10(15) eV) neutrinos interacting with Antarctic ice produce energetic electrons. The RICE project is designed to detect coherent radio emission from the electromagnetic cascades initiated by these electrons.. We describe the current status and the future plans of this radio effort.</t>
  </si>
  <si>
    <t>Univ Kansas, Dept Phys &amp; Astron, Lawrence, KS 66045 USA</t>
  </si>
  <si>
    <t>University of Kansas</t>
  </si>
  <si>
    <t>Seunarine, S (corresponding author), Univ Kansas, Dept Phys &amp; Astron, Lawrence, KS 66045 USA.</t>
  </si>
  <si>
    <t>Seunarine, Suruj/0000-0003-3272-6896</t>
  </si>
  <si>
    <t>JOURNAL DEPT PO BOX 128 FARRER ROAD, SINGAPORE 912805, SINGAPORE</t>
  </si>
  <si>
    <t>10.1142/S0217751X01008758</t>
  </si>
  <si>
    <t>WOS:000173465600036</t>
  </si>
  <si>
    <t>Schröder, W; Wiederkehr, KH</t>
  </si>
  <si>
    <t>Geomagnetic research in the 19th century:: a case study of the German contribution</t>
  </si>
  <si>
    <t>geophysics; geomagnetic main field; gottingen magnetic society; history of geomagnetism; international co-operation; solar-terrestrial physics</t>
  </si>
  <si>
    <t>Even before the discovery of electromagnetism by Oersted, and before the work of Ampere, who attributed all magnetism to the flux of electrical currents, A.v. Humboldt and Hansteen had turned to geomagnetism. Through the Gottinger Magnetischer Verein, a worldwide cooperation under the leadership of Gauss came into existence. Even today, Gauss's theory of geomagnetism is one of the pillars of geomagnetic research. Thereafter, J.v. Lamont, in Munich, took over the leadership in Germany. In England, the Magnetic Crusade was started by the initiative of John Herschel and E. Sabine. At the beginning of the 1840s, James Clarke Ross advanced to the vicinity of the southern magnetic pole on the Antarctic Continent, which was then quite unknown. Ten years later, Sabine was able to demonstrate solar-terrestrial relations from the data of the colonial observatories. In the 1980s, Arthur Schuster, following Balfour Stewart's ideas, succeeded in interpreting the daily variations of the electrical process in the high atmosphere. Geomagnetic research work in Germany was given a fresh impetus by the programme of the First Polar Year 1882-1883. Georg Neumayer, director of the Deutsche Seewarte in Hamburg, was one of the initiators of the Polar Year. He forged a close cooperation with the newly founded Kaiserliches Marineobservatorium in Wilhelmshaven, and also managed to gain the collaboration of the Gauss-Observatorium fur Erdmagnetismus in Gottingen under E. Schering. In the Polar Year, the first automatic recording magnetometers (Kew-Model) were used in the German observatory at Wilhelmshaven. Here, M. Eschenhagen, who later became director of the geomagnetic section in the new Meteorological Magnetic Observatory in Potsdam, deserves special credit. Early hypotheses of geomagnetism and pioneering palaeomagnetic experiments are briefly reviewed. The essential seismological investigations at the turn of the 19th to the 20th century are also briefly described as they underpin the modem theory of the Eartdynamo. (C) 2001 Elsevier Science Ltd. All rights reserved.</t>
  </si>
  <si>
    <t>Inst Geophys, D-28777 Bremen, Germany</t>
  </si>
  <si>
    <t>Schröder, W (corresponding author), Inst Geophys, Hechelstr 8, D-28777 Bremen, Germany.</t>
  </si>
  <si>
    <t>10.1016/S1364-6826(01)00038-4</t>
  </si>
  <si>
    <t>476TZ</t>
  </si>
  <si>
    <t>WOS:000171246000008</t>
  </si>
  <si>
    <t>Jordan, AD; Jungersen, M; Steffensen, JF</t>
  </si>
  <si>
    <t>Oxygen consumption of East Siberian cod: no support for the metabolic cold adaptation theory</t>
  </si>
  <si>
    <t>East Siberian cod; Arctogadus borisovi; Arctic; metabolic cold adaptation; oxygen consumption</t>
  </si>
  <si>
    <t>ANTARCTIC FISH; RESPIRATION; TEMPERATURE; PISCES; WATER</t>
  </si>
  <si>
    <t>Standard metabolic rate (R-S) at 2 degrees C of eight East Siberian cod Aretogadus borisovi, caught in West Greenland, body mass of 601.5 +/- 147.6 g (mean S.D.), was 40.9 +/- 5.9 mg O-2 kg(-1) h(-1) and 59.0 +/- 6.6 mg O-2 kg(-1) h(-1) when extrapolated to a standardized 100 g fish. RS was compared with three other Gadidae, to test the theory of metabolic cold adaptation (MCA). There was no evidence of MCA in the family. (C) 2001 The Fisheries Society of the British Isles.</t>
  </si>
  <si>
    <t>Univ Copenhagen, Arctic Stn, DK-3953 Godhavn Qeqertarsuaq, Greenland; Univ Copenhagen, Marine Biol Lab, DK-3000 Helsingor, Denmark</t>
  </si>
  <si>
    <t>University of Copenhagen</t>
  </si>
  <si>
    <t>Univ Copenhagen, Arctic Stn, DK-3953 Godhavn Qeqertarsuaq, Greenland.</t>
  </si>
  <si>
    <t>mbl@zi.ku.dk</t>
  </si>
  <si>
    <t>Steffensen, John Fleng/F-6778-2010</t>
  </si>
  <si>
    <t>Steffensen, John Fleng/0000-0002-4477-8039; Jordan, Anders Drud/0000-0002-5958-574X</t>
  </si>
  <si>
    <t>10.1111/j.1095-8649.2001.tb00152.x</t>
  </si>
  <si>
    <t>492XK</t>
  </si>
  <si>
    <t>WOS:000172192700005</t>
  </si>
  <si>
    <t>Quilty, PG</t>
  </si>
  <si>
    <t>Reworked Paleocene and Eocene foraminifera, Mac. Robertson Shelf, east Antarctica: Paleoenvironmental implications</t>
  </si>
  <si>
    <t>JOURNAL OF FORAMINIFERAL RESEARCH</t>
  </si>
  <si>
    <t>LAND</t>
  </si>
  <si>
    <t>Paleogene planktonic and benthic foraminifera, reworked into young Cenozoic sediments, are recorded from Mac. Robertson Shelf, east Antarctica. Paleocene and Eocene faunas include relatively warm water faunas and include Globanomalina pseudomenardii and Globigerinatheka kugleri. While all are minor components of the faunas, benthic species are more diverse and abundant than planktonic, and allow comparisons to be made with coeval southern Australian, New Zealand, and South American faunas, at a time when the continents were much closer together and Antarctica lacked the current icesheet. A new species of Ammoelphidiella represents the earliest occurrence of this Antarctic genus, and indicates that an Antarctic bioprovince existed for foraminifera, as had already been recognised in marine microplankton. The region yields evidence, of relative warmth later than envisaged in some models of the early evolution of the Antarctic icesheet. Inoceramus prisms are evidence for some reworking of Cretaceous material but no undoubted Cretaceous foraminifera have been recovered. Paleogene shallow water marine sections on Mac. Robertson Shelf are a potential source of valuable information concerning the evolution of the Antarctic environment over this critical interval and for which such sections are few.</t>
  </si>
  <si>
    <t>Univ Tasmania, Sch Earth Sci, Hobart, Tas 7001, Australia</t>
  </si>
  <si>
    <t>Quilty, PG (corresponding author), Univ Tasmania, Sch Earth Sci, GPO Box 252-79, Hobart, Tas 7001, Australia.</t>
  </si>
  <si>
    <t>P.Quilty@utas.edu.au</t>
  </si>
  <si>
    <t>CUSHMAN FOUNDATION FORAMINIFERAL RESEARCH</t>
  </si>
  <si>
    <t>PO BOX 7065, LAWRENCE, KS 66044-7065 USA</t>
  </si>
  <si>
    <t>0096-1191</t>
  </si>
  <si>
    <t>J FORAMIN RES</t>
  </si>
  <si>
    <t>J. Foraminifer. Res.</t>
  </si>
  <si>
    <t>10.2113/0310369</t>
  </si>
  <si>
    <t>501KW</t>
  </si>
  <si>
    <t>WOS:000172684700009</t>
  </si>
  <si>
    <t>McCracken, KG; Dreschhoff, GAM; Zeller, EJ; Smart, DF; Shea, MA</t>
  </si>
  <si>
    <t>Solar cosmic ray events for the period 1561-1994 1. Identification in polar ice, 1561-1950</t>
  </si>
  <si>
    <t>MIDDLE ATMOSPHERE; ODD NITROGEN; PROTON EVENTS; STRATOSPHERE; OZONE; CORES; NOY</t>
  </si>
  <si>
    <t>The geophysical significance of the thin nitrate-rich layers that have been found in both Arctic and Antarctic firn and ice cores, dating from the period 1561-1991, is examined in detail. It is shown that variations of meteorological origin dominate the record until the snow has consolidated to high-density firn some 30 years after deposition. The thin nitrate layers have a characteristic short timescale (&lt;6 weeks) and are highly correlated with periods of major solar-terrestrial disturbance, the probability of chance correlation being less than 10(-9). A one-to-one correlation is demonstrated between the seven largest solar proton fluence events that have been observed since continuous recording of the cosmic radiation started in 1936, and the corresponding thin nitrate layers for the event date. The probability of this occurring by chance is &lt; 10(-6). This high degree of statistical correlation, together with the modeling studies of Jackman, Vitt, and coworkers, is interpreted as establishing that the impulsive nitrate events are causally related to the generation of energetic particles by solar activity. The timescale of the nitrate events is too short to be understood in terms of transport mechanisms in the gaseous phase and indicates that the nitrate must be precipitated to the polar caps by the gravitational sedimentation of stratospheric solid particles. A conversion factor is established between the impulsive transient nitrate concentrations and the &gt; 30 MeV solar proton fluence. The proton fluences (omnidirectional fluence cm(-2)) derived from the 70 largest impulsive nitrate events between 1561 and 1950 are tabulated. The proton fluence probability distribution derived from these large impulsive nitrate events are in good agreement with earlier studies of the cumulative probabilities of solar proton events and with the observation of cosmogenic isotopes in moon rocks. The cumulative probability curve derived from the impulsive nitrate events indicates a rapidly decreasing probability of occurrence of &gt; 30 MeV solar proton events having an omnidirectional fluence exceeding 6 x 10(9) cm(-2). It is concluded that the impulsive nitrate events are reliable indicators of the occurrence of large fluence solar proton events and that they provide a quantitative measure of these events. It is further concluded that the impulsive nitrate events will permit the study of solar activity for many thousands of years into the past.</t>
  </si>
  <si>
    <t>Univ Maryland, Inst Phys Sci &amp; Technol, College Pk, MD 20742 USA; Univ Kansas, Dept Phys &amp; Astron, Lawrence, KS 66045 USA; USAF, Res Lab, Space Vehicles Directorate, Bedford, MA 01731 USA</t>
  </si>
  <si>
    <t>University System of Maryland; University of Maryland College Park; University of Kansas; United States Department of Defense; United States Air Force</t>
  </si>
  <si>
    <t>Univ Maryland, Inst Phys Sci &amp; Technol, College Pk, MD 20742 USA.</t>
  </si>
  <si>
    <t>giselad@ku.edu; jellore@hinet.net.au; sssrc@msn.com; sssrc@msn.com</t>
  </si>
  <si>
    <t>A10</t>
  </si>
  <si>
    <t>10.1029/2000JA000237</t>
  </si>
  <si>
    <t>475XG</t>
  </si>
  <si>
    <t>WOS:000171194600055</t>
  </si>
  <si>
    <t>Eastman, JT; Lannoo, MJ</t>
  </si>
  <si>
    <t>Anatomy and histology of the brain and sense organs of the antarctic eel cod Muraenolepis microps (Gadiformes; Muraenolepididae)</t>
  </si>
  <si>
    <t>JOURNAL OF MORPHOLOGY</t>
  </si>
  <si>
    <t>brain morphology and histology; sense organ histology; subependymal expansions</t>
  </si>
  <si>
    <t>NOTOTHENIOID FISHES; CILIATA-MUSTELA; MORPHOLOGY; EVOLUTION; TELEOSTEI; DORSAL; TASTE</t>
  </si>
  <si>
    <t>Brain regions, cranial nerves, and sense organs in Muraenolepis microps, an Antarctic gadiform fish, were examined to determine which features could be attributed to a gadiform ancestry and which to habitation of Antarctic waters. We found that the central nervous system and sense organs are well developed, showing neither substantial regression nor hypertrophy. A detailed drawing of the brain and cranial nerves is provided. The rostral position of the olfactory bulbs and telencephalic size and lobation are common for the order. The optic tectum and corpus cerebelli are smaller than in most other gadiforms. The shape of the corpus cerebelli is not distinctive among gadiforms. The lateral line region is moderately well-developed, but not hypertrophied to the extent seen in deep-sea gadiforms. As is the case in gadids possessing barbels and elongated pelvic rays, Muraenolepis has well-developed facial lobes, although these are smaller and more laterally positioned. The vagal lobes are deeply placed in the rhombencephalon and project into the fourth ventricle. The brain of Muraenolepis resembles that of a phyletically derived gadoid, especially a phycid, more than it resembles the brain of a phyletically basal macrourid. Two histological features of the diencephalon of Muraeno-lepis appear to be unique among gadiforms: a well-organized thalamic central medial nucleus and subependymal expansions. Muraenolepis has a pure rod retina like many deep-sea species but lacks the superimposed layers of rod outer segments. The histology of the nonvisual sense organs, especially the olfactory and external taste systems, are well-developed in Muraenolepis but. not hypertrophied. We relate our findings to what is known about neural morphology in other gadiforms and in phyletically distant notothenioids and liparids that are sympatric with Muraenolepis on the Antarctic shelf. The only feature that reflects an Antarctic existence is the diencephalic subependymal expansions, which within notothenioids mirror the habitation of cold waters and have been found in every Antarctic species examined to date. Although the waters of the Antarctic shelf are cold, dark, and deep, brain and sense organ morphology in Muraenolepis are remarkably free of extreme specialization. (C) 2001 Wiley-Liss, Inc.</t>
  </si>
  <si>
    <t>Ohio Univ, Coll Osteopath Med, Dept Biomed Sci, Athens, OH 45701 USA; Ball State Univ, Indiana Univ Sch Med, Munice Ctr Med Educ, Muncie, IN USA</t>
  </si>
  <si>
    <t>University System of Ohio; Ohio University; Indiana University Health; IU Health Ball Memorial Hospital; Ball State University</t>
  </si>
  <si>
    <t>Eastman, JT (corresponding author), Ohio Univ, Coll Osteopath Med, Dept Biomed Sci, Athens, OH 45701 USA.</t>
  </si>
  <si>
    <t>Eastman, Joseph T/A-9786-2008; Eastman, Joseph T./O-6150-2019</t>
  </si>
  <si>
    <t>Eastman, Joseph T./0000-0003-3868-261X</t>
  </si>
  <si>
    <t>NINDS NIH HHS [NS37600-01] Funding Source: Medline</t>
  </si>
  <si>
    <t>NINDS NIH HHS(United States Department of Health &amp; Human ServicesNational Institutes of Health (NIH) - USANIH National Institute of Neurological Disorders &amp; Stroke (NINDS))</t>
  </si>
  <si>
    <t>0362-2525</t>
  </si>
  <si>
    <t>J MORPHOL</t>
  </si>
  <si>
    <t>J. Morphol.</t>
  </si>
  <si>
    <t>10.1002/jmor.1057</t>
  </si>
  <si>
    <t>Anatomy &amp; Morphology</t>
  </si>
  <si>
    <t>477CY</t>
  </si>
  <si>
    <t>WOS:000171266600004</t>
  </si>
  <si>
    <t>Pisanu, B; Chapuis, JL; Durette-Desset, MC</t>
  </si>
  <si>
    <t>Helminths from introduced small mammals on Kerguelen, Crozet, and Amsterdam Islands (Southern Indian ocean)</t>
  </si>
  <si>
    <t>JOURNAL OF PARASITOLOGY</t>
  </si>
  <si>
    <t>RABBIT ORYCTOLAGUS-CUNICULUS; PARASITES; RICHNESS; RATTUS</t>
  </si>
  <si>
    <t>Four monoxenous nematodes and 1 heteroxenous cestode were found in 4 species of introduced small mammals on isolated sub-Antarctic islands of the Indian Ocean. In the Kerguelen Archipelago, Syphacia obvelata, Passalurus ambiguus (Nematoda: Oxyuridae), and Rodentolepis straminea (Cestoda: Cyclophyllidae) were respectively found in the house mouse Mus musculus, the rabbit Oryctolagus cuniculus, and the black rat Rattus rattus. One accidental nematode, Trichostrongylus sp. (Nematoda: Trichostrongylidae), was also found in a black rat on Kerguelen. On Possession Island (Crozet Archipelago), R. straminea was present in the black rat. On Amsterdam Island, the brown rat R. norvegicus harbored 2 species, R. straminea and Nippostrongylus brasiliensis (Nematoda: Heligmonellidae). The small number of founder hosts and the depauperate terrestrial communities on these remote islands explain the low diversity in the helminth communities of these introduced mammals compared with continental populations.</t>
  </si>
  <si>
    <t>Lab Evolut Syst Nat &amp; Modifies, CNRS, UMR 6553, Rennes 1, France; Museum Natl Hist Nat, Lab Biol Parasitaire Protistol Helminthol FR 3, F-75005 Paris, France</t>
  </si>
  <si>
    <t>Centre National de la Recherche Scientifique (CNRS); CNRS - Institute of Ecology &amp; Environment (INEE); Universite de Rennes; Museum National d'Histoire Naturelle (MNHN)</t>
  </si>
  <si>
    <t>Lab Evolut Syst Nat &amp; Modifies, CNRS, UMR 6553, Rennes 1, France.</t>
  </si>
  <si>
    <t>ALLEN PRESS INC</t>
  </si>
  <si>
    <t>810 E 10TH ST, LAWRENCE, KS 66044 USA</t>
  </si>
  <si>
    <t>0022-3395</t>
  </si>
  <si>
    <t>1937-2345</t>
  </si>
  <si>
    <t>J PARASITOL</t>
  </si>
  <si>
    <t>J. Parasitol.</t>
  </si>
  <si>
    <t>10.2307/3285269</t>
  </si>
  <si>
    <t>Parasitology</t>
  </si>
  <si>
    <t>485UK</t>
  </si>
  <si>
    <t>WOS:000171782300057</t>
  </si>
  <si>
    <t>Buecher, E; Sparks, C; Brierley, A; Boyer, H; Gibbons, M</t>
  </si>
  <si>
    <t>Biometry and size distribution of Chrysaora hysoscella (Cnidaria, Scyphozoa) and Aequorea aequorea (Cnidaria, Hydrozoa) off Namibia with some notes on their parasite Hyperia medusarum</t>
  </si>
  <si>
    <t>JOURNAL OF PLANKTON RESEARCH</t>
  </si>
  <si>
    <t>JELLYFISH; BENGUELA; MIGRATION; AMPHIPODA; SEA</t>
  </si>
  <si>
    <t>Novel data on the biometry, size distribution and parasites of Aequorea aequorea and Chysaora hysoscella are provided from investigations conducted during summer and winter in the northern Benguela ecosystem. The relationship between mass and diameter of C hysoscella did not change on a seasonal basis, and this possibly reflects the aseasonal nature of the food environment. The changes in the size structure of C hysoscella across the shelf and with depth agree with postulated population maintenance strategies in the region. Aequorea aequorea was not strongly parasitized, but C hysoscella was subject to occasional parasitism by Hyperia medusarum, especially in winter when C. hysoscella is thought to reproduce. Parasites were distributed in a typical, negative- binomial manner on their hosts, but load was independent of host size. As medusae increased in diameter so H. medusarum tended to move from other tissues to the gonads.</t>
  </si>
  <si>
    <t>CNRS, Lab Oceanog Biol &amp; Ecol Plancton Marin, UPMC 7076, Stn Zool, F-06234 Villefranche Sur Mer, France; Cape Technikon, Fac Sci Appl, ZA-8000 Cape Town, South Africa; British Antarctic Survey, Div Biol Sci, Cambridge CB3 0ET, England; Natl Marine Informat &amp; Res Ctr, Swakopmund, Namibia</t>
  </si>
  <si>
    <t>Centre National de la Recherche Scientifique (CNRS); Sorbonne Universite; Cape Peninsula University of Technology; UK Research &amp; Innovation (UKRI); Natural Environment Research Council (NERC); NERC British Antarctic Survey</t>
  </si>
  <si>
    <t>Univ Western Cape, Dept Zool, Private Bag X17, ZA-7535 Bellville, South Africa.</t>
  </si>
  <si>
    <t>EBUECHER@MCM.WCAP.GOV.ZA</t>
  </si>
  <si>
    <t>Sparks, Conrad/AAQ-3307-2020; Gibbons, Mark/A-8806-2008; Sparks, Conrad/E-2768-2018; Brierley, Andrew/G-8019-2011</t>
  </si>
  <si>
    <t>Sparks, Conrad/0000-0001-9721-3544; Gibbons, Mark/0000-0002-8320-8151; Sparks, Conrad/0000-0001-9721-3544; Brierley, Andrew/0000-0002-6438-6892</t>
  </si>
  <si>
    <t>0142-7873</t>
  </si>
  <si>
    <t>1464-3774</t>
  </si>
  <si>
    <t>J PLANKTON RES</t>
  </si>
  <si>
    <t>J. Plankton Res.</t>
  </si>
  <si>
    <t>10.1093/plankt/23.10.1073</t>
  </si>
  <si>
    <t>Marine &amp; Freshwater Biology; Oceanography</t>
  </si>
  <si>
    <t>483JT</t>
  </si>
  <si>
    <t>WOS:000171632800003</t>
  </si>
  <si>
    <t>Izaguirre, I; Mataloni, G; Allende, L; Vinocur, A</t>
  </si>
  <si>
    <t>Summer fluctuations of microbial planktonic communities in a eutrophic lake - Cierva Point, Antarctica</t>
  </si>
  <si>
    <t>ALGAL COMMUNITIES; POTTER PENINSULA; GROWTH-RATES; PHYTOPLANKTON; DYNAMICS; PICOPLANKTON; BIOMASS; FRYXELL; ECOSYSTEMS; DIVERSITY</t>
  </si>
  <si>
    <t>A eutrophic lake at Cierva Point, Antarctic Peninsula was surveyed during the summers of 1997 and 1998. Phytoplankton size fractions (micro-, nano- and picoplankton) were analysed, as well as the abundance of bacterioplankton and planktonic ciliates. No permanent vertical stratification was found owing to the shallowness of the lake. Both nutrient concentrations and chlorophyll a values indicated highly eutrophic conditions, which are a consequence of a natural enrichment by seabirds. Significant differences in temperature between the 1997 and 1998 seasons strongly influenced most of the biological features. The phytoplankton community showed a high algal species-richness, with important contributions of epilithic, cryobiontic and soil algae. The dominant algal group was Chlorophyta, mainly represented by Chlamydomonas aff. celerrima, followed by Chl. aff. braunii. Some replacement of phytoplanktonic species took place in summer and was more evident in 1998. Picophytoplankton reached high densities, similar to those reported from other Antarctic lakes. Bacterioplankton abundances were typical of eutrophic and hypereutrophic lakes. There was a positive correlation between bacterial and total phytoplankton abundance. Ciliates reached some very h ah peaks, with higher figures than those reported for other Antarctic systems with similar trophic status.</t>
  </si>
  <si>
    <t>Univ Buenos Aires, Fac Ciencias Exactas &amp; Nat, Dept Biol, RA-1428 Buenos Aires, DF, Argentina; Consejo Nacl Invest Cient &amp; Tecn, Buenos Aires, DF, Argentina</t>
  </si>
  <si>
    <t>University of Buenos Aires; Consejo Nacional de Investigaciones Cientificas y Tecnicas (CONICET)</t>
  </si>
  <si>
    <t>Univ Buenos Aires, Fac Ciencias Exactas &amp; Nat, Dept Biol, Ciudad Univ, RA-1428 Buenos Aires, DF, Argentina.</t>
  </si>
  <si>
    <t>Mataloni, Gabriela/0000-0002-6852-6143</t>
  </si>
  <si>
    <t>10.1093/plankt/23.10.1095</t>
  </si>
  <si>
    <t>WOS:000171632800005</t>
  </si>
  <si>
    <t>Waheed, S; Ahmad, S; Rahman, A; Qureshi, IH</t>
  </si>
  <si>
    <t>Antarctic marine sediments as fingerprints of pollution migration</t>
  </si>
  <si>
    <t>JOURNAL OF RADIOANALYTICAL AND NUCLEAR CHEMISTRY</t>
  </si>
  <si>
    <t>NEUTRON-ACTIVATION ANALYSIS; TRACE-ELEMENTS</t>
  </si>
  <si>
    <t>Forty elements in 21 coastal marine sediment samples collected during the second Antarctic scientific expedition from 18 different sites of Brekilen area located at the coast of Antarctica were analysed by instrumental neutron activation analysis (INAA) to detect eventual pollution. Radio-assay schemes for three sets of elements after neutron irradiation and cooling were evolved to avoid matrix effects. Data have been compared with those for sediments of various stations at Antarctica and two other regions in different continents. Lower concentration of certain elements in the Antarctic sediments reflects less environmental exposition. Enrichment factors (EF) were calculated for all the elements using the earth crust as reference matrix, based on elemental values by MASON, TAYLOR and WEDEPOHL which show a normal pattern near to unity except for Ag and Br. The data obtained could also serve as a reference point from which changes in the global environment can be studied. The quality assurance of data was performed using standard reference materials (SRMs) of a similar matrix (IAEA Marine Sediment SD-M/TM and Chinese Marine Sediment GBW 07313).</t>
  </si>
  <si>
    <t>Pakistan Inst Nucl Sci &amp; Technol, Div Nucl Chem, Islamabad, Pakistan</t>
  </si>
  <si>
    <t>Pakistan Institute of Nuclear Science &amp; Technology</t>
  </si>
  <si>
    <t>Ahmad, S (corresponding author), Pakistan Inst Nucl Sci &amp; Technol, Div Nucl Chem, PO Nilore, Islamabad, Pakistan.</t>
  </si>
  <si>
    <t>Waheed, Shahida/H-6767-2015</t>
  </si>
  <si>
    <t>0236-5731</t>
  </si>
  <si>
    <t>J RADIOANAL NUCL CH</t>
  </si>
  <si>
    <t>J. Radioanal. Nucl. Chem.</t>
  </si>
  <si>
    <t>Chemistry, Analytical; Chemistry, Inorganic &amp; Nuclear; Nuclear Science &amp; Technology</t>
  </si>
  <si>
    <t>Chemistry; Nuclear Science &amp; Technology</t>
  </si>
  <si>
    <t>482LC</t>
  </si>
  <si>
    <t>WOS:000171576800013</t>
  </si>
  <si>
    <t>Campagna, C; Werner, R; Karesh, W; Marín, MR; Koontz, F; Cook, R; Koontz, C</t>
  </si>
  <si>
    <t>Movements and location at sea of South American sea lions (Otaria flavescens)</t>
  </si>
  <si>
    <t>JOURNAL OF ZOOLOGY</t>
  </si>
  <si>
    <t>Otaria flarescens; South American sea lions; diving; foraging behaviour; Patagonia</t>
  </si>
  <si>
    <t>ANTARCTIC FUR SEALS; DIVING BEHAVIOR; OTARIA-FLAVESCENS; ELEPHANT SEALS; FORAGING BEHAVIOR; NEW-ZEALAND; FEMALE; PATAGONIA; TELAZOL; ECOLOGY</t>
  </si>
  <si>
    <t>This study examined the foraging locations of lactating female and pre-breeding adult male South American sea lions Otaria flavescens in the Patagonian continental shelf, south-west Atlantic ocean. Research on females included the diving pattern, and was conducted during the 1994-98 breeding seasons in five northern and central Patagonian rookeries. Twenty females were satellite- tracked using the Argos system and yielded 1558 locations at sea. Satellite transmitters were also deployed on two adult males tracked for a total of 94 days (n = 364 locations) before the onset of the 1999 breeding season. Foraging trips for both sexes were confined to the temperate waters of the Patagonian continental shelf although males travelled greater distances than females, and arrived close (c. 80 km) to the edge of the shelf. Females from the same rookery dispersed widely and locations at sea often overlapped. Individual differences were apparent between coastal and pelagic animals. Trips lasted a mean of 3.4 days (S D = 1.3, n = 115 trips). Mean travel distance per trip was 206 km (sr) = 117 km, maximum 864 km, n = 115 trips). Females reached further distances by travelling faster rather than by extending the duration of trips. Consistent with the shallow continental shelf, 65% of 75 087 dives recorded for nine animals were in the range of 2-30 m. Males alternated periods on the coast with trips to sea lasting a mean of 5.7 days (SD = 3.0, n = 8 trips). Mean travel distance exceeded 591 km (1 SD = 301 km, n = 8 trips). Results are consistent with sex differences reported from diet studies. Locations overlap with the summer operation of shelf fisheries targeting species that are also part of the sea lion diet.</t>
  </si>
  <si>
    <t>Ctr Nacl Patagon, RA-9120 Puerto Madryn, Argentina; Wildlife Conservat Soc, Bronx, NY 10460 USA; Univ Guelph, Dept Zool, Guelph, ON N1G 2W1, Canada; Wildlife Preservat Trust Int, Philadelphia, PA 19102 USA; Wildlife Conservat Solut, Ellicott City, MD 21042 USA</t>
  </si>
  <si>
    <t>Centro Nacional Patagonico (CENPAT); Wildlife Conservation Society; University of Guelph</t>
  </si>
  <si>
    <t>Proyecto Tierra Patagonia, Maipu 150,2DO-E, RA-1642 Buenos Aires, DF, Argentina.</t>
  </si>
  <si>
    <t>Karesh, William/AAU-9084-2020</t>
  </si>
  <si>
    <t>Karesh, William/0000-0001-6042-2860; Campagna, Claudio/0000-0002-7971-5062</t>
  </si>
  <si>
    <t>0952-8369</t>
  </si>
  <si>
    <t>1469-7998</t>
  </si>
  <si>
    <t>J ZOOL</t>
  </si>
  <si>
    <t>J. Zool.</t>
  </si>
  <si>
    <t>10.1017/S0952836901001285</t>
  </si>
  <si>
    <t>485VT</t>
  </si>
  <si>
    <t>WOS:000171784700009</t>
  </si>
  <si>
    <t>Waluda, CM; Rodhouse, PG; Podestá, GP; Trathan, PN; Pierce, GJ</t>
  </si>
  <si>
    <t>Surface oceanography of the inferred hatching grounds of Illex argentinus (Cephalopoda: Ommastrephidae) and influences on recruitment variability</t>
  </si>
  <si>
    <t>TODARODES-PACIFICUS CEPHALOPODA; BRAZIL; SQUID; ATLANTIC; MANAGEMENT; CURRENTS; FISHERY; GROWTH; CIRCULATION; MATURATION</t>
  </si>
  <si>
    <t>Interannual variability in the mesoscale oceanography of the inferred hatching area of winter-spawned Illex argentinus (i.e. those belonging to the Southern Patagonic Stock) was examined during the hatching months of June and July. The hatching area was defined as the region 32 degrees -39 degreesS, 49 degrees -61 degreesW, and indicators of the surface oceanography in this area were derived from remotely sensed advanced very high resolution radiometer (AVHRR) sea-surface temperature (SST) data. Interannual variability in the mesoscale oceanic circulation in the inferred hatching area was examined in terms of (1) the area occupied by frontal waters (defined as areas with SST gradients of greater than or equal to3 degreesC over an area of 15 km by 15 km), and (2) the area occupied by waters of favourable SST (defined as those with temperatures in the range 16-18 degreesC). Oceanographic indicators were compared with an index of I argentinus recruitment to the Falkland Islands (Malvinas) fishery (catch per licensed vessel) for the period 1987 to 1999. The two oceanographic indicators were seen to co-vary, with a decrease in the proportion of the inferred hatching area occupied by frontal waters corresponding to an increase in the proportion of water of favourable SST. High squid abundance was found to be associated with a lower proportion of frontal waters or a higher proportion of favourable-SST waters within the inferred hatching area in the year preceding the fishery. Interannual variability in the interaction of the Brazil and Falkland Currents in the inferred hatching area during the early life stages is shown to be important in influencing the population size of L argentinus, and mechanisms influencing squid recruitment in this highly dynamic region are discussed.</t>
  </si>
  <si>
    <t>Univ Aberdeen, Dept Zool, Aberdeen AB24 2TZ, Scotland; British Antarctic Survey, NERC, Cambridge CB3 0ET, England; Univ Miami, Rosenstiel Sch Marine &amp; Atmospher Sci, Miami, FL 33149 USA</t>
  </si>
  <si>
    <t>University of Aberdeen; UK Research &amp; Innovation (UKRI); Natural Environment Research Council (NERC); NERC British Antarctic Survey; University of Miami</t>
  </si>
  <si>
    <t>Univ Aberdeen, Dept Zool, Tillydrone Ave, Aberdeen AB24 2TZ, Scotland.</t>
  </si>
  <si>
    <t>clwa@bas.ac.uk</t>
  </si>
  <si>
    <t>Pierce, Graham/A-5404-2018; Podesta, Guillermo/L-7100-2015</t>
  </si>
  <si>
    <t>Pierce, Graham/0000-0002-4744-4501; Podesta, Guillermo/0000-0002-4909-0567</t>
  </si>
  <si>
    <t>SPRINGER HEIDELBERG</t>
  </si>
  <si>
    <t>HEIDELBERG</t>
  </si>
  <si>
    <t>TIERGARTENSTRASSE 17, D-69121 HEIDELBERG, GERMANY</t>
  </si>
  <si>
    <t>1432-1793</t>
  </si>
  <si>
    <t>487DW</t>
  </si>
  <si>
    <t>WOS:000171859200008</t>
  </si>
  <si>
    <t>Cincinelli, A; Stortini, AM; Perugini, M; Checchini, L; Lepri, L</t>
  </si>
  <si>
    <t>Organic pollutants in sea-surface microlayer and aerosol in the coastal environment of Leghorn - (Tyrrhenian Sea)</t>
  </si>
  <si>
    <t>sea-surface microlayer; marine aerosol; organic matter; organic pollutants</t>
  </si>
  <si>
    <t>PHTHALATE ESTER PLASTICIZERS; MEDITERRANEAN-SEA; AROMATIC-HYDROCARBONS; MARINE AEROSOLS; AIR/SEA INTERFACE; ANTARCTIC SNOW; CHESAPEAKE BAY; ACID ESTERS; WATER; TRANSPORT</t>
  </si>
  <si>
    <t>The levels of dissolved and particle-associated n-alkanes, alkylbenzenes, phthalates, PAHs, anionic surfactants and surfactant fluorescent organic matter (SFOM) were measured in sea-surface microlayer (SML) and sub-surface water (SSL) samples collected in the Leghorn marine environment in September and October 1999. Nine stations, located in the Leghorn harbour and at increasing distances from the Port, were sampled three times on the same day. At all the stations, SML concentrations of the selected organic compounds were significantly higher than SSL values and the enrichment factors (EF = SML concentration/SSL concentration) were greater in the particulate phase than in the dissolved phase. SML concentrations varied greatly among the sampling sites, the highest levels (n-alkanes 3674 mug/l, phthalates 177 mug/l, total PAHs 226 mug/l) being found in the particulate phase in the Leghorn harbour. To improve the knowledge on pollutant exchanges between sea-surface waters and atmosphere, the validity of spray drop adsorption model (SDAM) was verified for SFOM, surface-active agents, such as phthalates, and compounds which can interact with SFOM, such as n-alkanes and PAHs. (C) 2001 Elsevier Science B.V. All rights reserved.</t>
  </si>
  <si>
    <t>Univ Florence, Dept Publ Hlth Epidemiol &amp; Environm Analyt Chem, I-50121 Florence, Italy</t>
  </si>
  <si>
    <t>University of Florence</t>
  </si>
  <si>
    <t>Cincinelli, A (corresponding author), Univ Florence, Dept Publ Hlth Epidemiol &amp; Environm Analyt Chem, Via G Capponi 9, I-50121 Florence, Italy.</t>
  </si>
  <si>
    <t>Cincinelli, Alessandra/A-8468-2011</t>
  </si>
  <si>
    <t>Cincinelli, Alessandra/0000-0002-6977-4595</t>
  </si>
  <si>
    <t>10.1016/S0304-4203(01)00049-4</t>
  </si>
  <si>
    <t>483ZM</t>
  </si>
  <si>
    <t>WOS:000171665800006</t>
  </si>
  <si>
    <t>Wilkinson, IS; van Aarde, RJ</t>
  </si>
  <si>
    <t>Investment in sons and daughters by southern elephant seals, Mirounga leonina, at Marion Island</t>
  </si>
  <si>
    <t>MARINE MAMMAL SCIENCE</t>
  </si>
  <si>
    <t>Mirounga leonina; southern elephant seals; Marion Island; maternal investment; reproduction; weaning mass; birth mass; growth rate</t>
  </si>
  <si>
    <t>ANTARCTIC FUR SEALS; DIFFERENTIAL MATERNAL INVESTMENT; HALICHOERUS-GRYPUS; GREY SEAL; ARCTOCEPHALUS-GAZELLA; PARENTAL INVESTMENT; WEANING MASS; PUP GROWTH; SEX-RATIO; REPRODUCTION</t>
  </si>
  <si>
    <t>The southern elephant seat, Mirounga leonina, exhibits extreme sexual dimorphism and polygyny and is thought to be an ideal subject to test maternal investment theory. Predictions concerning differential investment in offspring by sex were tested on M. leonina breeding at Marion Island over three austral summers. Large females produced more male pups, while small females produced more female pups, providing tentative support for the Trivers and Willard (1973) hypothesis. Maternal size had a greater influence on growth rate and weaning mass than on the sex of offspring. Differential reproductive costs to adult females were not evident in terms of future fecundity or survival. In keeping with other studies on this species, we could not demonstrate any differential investment in the two sexes. We suggest that before discounting maternal investment theories, further studies need to be undertaken to determine the benefits, if any, of size at weaning on long-term survival and reproductive success.</t>
  </si>
  <si>
    <t>Univ Pretoria, Dept Zool &amp; Entomol, ZA-0002 Pretoria, South Africa</t>
  </si>
  <si>
    <t>University of Pretoria</t>
  </si>
  <si>
    <t>Wilkinson, IS (corresponding author), Dept Conservat, Sci &amp; Res Unit, POB 10-420, Wellington, New Zealand.</t>
  </si>
  <si>
    <t>Wilkinson, Ian S/ABG-2772-2020; Wilkinson, Ian/F-2291-2010</t>
  </si>
  <si>
    <t>SOC MARINE MAMMALOGY</t>
  </si>
  <si>
    <t>1041 NEW HAMPSHIRE ST, LAWRENCE, KS 66044 USA</t>
  </si>
  <si>
    <t>0824-0469</t>
  </si>
  <si>
    <t>MAR MAMMAL SCI</t>
  </si>
  <si>
    <t>Mar. Mamm. Sci.</t>
  </si>
  <si>
    <t>10.1111/j.1748-7692.2001.tb01303.x</t>
  </si>
  <si>
    <t>Marine &amp; Freshwater Biology; Zoology</t>
  </si>
  <si>
    <t>486GC</t>
  </si>
  <si>
    <t>WOS:000171809200012</t>
  </si>
  <si>
    <t>Fernández-Valiente, E; Quesada, A; Howard-Williams, C; Hawes, I</t>
  </si>
  <si>
    <t>N2-fixation in cyanobacterial mats from ponds on the McMurdo Ice Shelf, Antarctica</t>
  </si>
  <si>
    <t>MICROBIAL ECOLOGY</t>
  </si>
  <si>
    <t>BLUE-GREEN-ALGAE; NITROGEN-FIXATION; ACETYLENE-REDUCTION; MICROBIAL BIOMASS; NATURAL-ABUNDANCE; N-2 FIXATION; RICE-FIELDS; PHOTOSYNTHESIS; ECOLOGY; COMMUNITIES</t>
  </si>
  <si>
    <t>We have investigated the ecological importance of N-2-fixation in cyanobacterial mats, dominated by oscillatorean species, in ponds of the Bratina Island area of the McMurdo Ice Shelf, Antarctica (78 degreesS, 166 degreesE). Nitrogenase activity, estimated as acetylene reducing activity (ARA), was found in all the mats investigated (n = 16). The average ARA was 75.9 mu mol ethylene m(-2) h(-1), ranging from 6 to 201 mu mol ethylene m(-2) h(-1). Nitrogenase activity was positively correlated with dissolved reactive phosphorus concentration in pondwater and the ON ratio of the mat, and was negatively correlated with pondwater NH4+-N concentrations and natural abundance of N-15 in the mats. ARA was restricted to the upper, oxic layer of the mats. Experiments conducted to ascribe ARA to different groups of prokaryotes suggested that ARA was mainly conducted by heterocystous cyanobacteria, since no activity was found in the dark and the activity was inhibited by the photosystem II inhibitor DCMU (3-[3,4-dichlorophenvl]-1,1 -dimethyl urea). In spite of 24 h of daylight, nitrogenase activity showed a diel cycle with maximum activity at midday (10-18 h) and minimal activity at early morning (6-10 h) when pond temperatures were at their minima. Light dependency of nitrogenase activity for three cyanobacterial communities showed that the irradiance required for saturating ARA was low, in every case lower than 100 mu mol photon m(-2)s(-1). Irradiance rarely fell below too mu mol photon m(-2)s(-1) during Antarctic summer days and ARA was likely to be light saturated for much of the time. We estimate that N-2 fixation represented on average a N input into the ponds of over 1 g m(-2)y(-1). This value appears to be the highest N input to this Antarctic ecosystem.</t>
  </si>
  <si>
    <t>Univ Autonoma Madrid, Fac Ciencias, Dept Biol, E-28049 Madrid, Spain; Natl Inst Water &amp; Atmospher Res, Christchurch, New Zealand</t>
  </si>
  <si>
    <t>Autonomous University of Madrid; National Institute of Water &amp; Atmospheric Research (NIWA) - New Zealand</t>
  </si>
  <si>
    <t>eduardo.fernandez@uam.es</t>
  </si>
  <si>
    <t>; Quesada, Antonio/L-2430-2013</t>
  </si>
  <si>
    <t>Hawes, Ian/0000-0003-2471-6903; Quesada, Antonio/0000-0002-8913-5993; Howard-Williams, Clive/0000-0002-8323-6806</t>
  </si>
  <si>
    <t>0095-3628</t>
  </si>
  <si>
    <t>1432-184X</t>
  </si>
  <si>
    <t>MICROB ECOL</t>
  </si>
  <si>
    <t>Microb. Ecol.</t>
  </si>
  <si>
    <t>10.1007/s00248-001-1010-z</t>
  </si>
  <si>
    <t>Ecology; Marine &amp; Freshwater Biology; Microbiology</t>
  </si>
  <si>
    <t>Environmental Sciences &amp; Ecology; Marine &amp; Freshwater Biology; Microbiology</t>
  </si>
  <si>
    <t>488WZ</t>
  </si>
  <si>
    <t>WOS:000171961000013</t>
  </si>
  <si>
    <t>Matsumoto, K; Lynch-Stieglitz, J; Anderson, RF</t>
  </si>
  <si>
    <t>Similar glacial and Holocene Southern Ocean hydrography</t>
  </si>
  <si>
    <t>ANTARCTIC CIRCUMPOLAR CURRENT; OXYGEN ISOTOPIC COMPOSITION; DEEP-WATER CIRCULATION; VOSTOK ICE CORE; BENTHIC FORAMINIFERA; ATLANTIC SECTOR; ATMOSPHERIC CO2; SURFACE WATERS; CARBON-CYCLE; SEA-ICE</t>
  </si>
  <si>
    <t>We present new Holocene and glacial delta O-18 data measured on planktonic foraminifera Neogloboquadrina pachyderma and benthic foraminifera Cibicidoides species from the Atlantic and Pacific sectors of the Southern Ocean in order to better understand its glacial hydrography. Combined with previously published data, the latitudinal delta O-18 distributions of these foraminifera show no appreciable difference during the Holocene and the Last Glacial Maximum. This suggests that the basic Southern Ocean hydrography, including stratification and the mean position of the Antarctic Circumpolar Current frontal system, remained largely unchanged, although the small number of Pacific data render any conclusion in that sector preliminary.</t>
  </si>
  <si>
    <t>Columbia Univ, Lamont Doherty Geol Observ, Palisades, NY 10964 USA; Columbia Univ, Dept Earth &amp; Environm Sci, Palisades, NY 10964 USA</t>
  </si>
  <si>
    <t>Columbia University; Columbia University</t>
  </si>
  <si>
    <t>Princeton Univ, Program Atmospher &amp; Ocean Sci, POB CN710,Sayre Hall, Princeton, NJ 08544 USA.</t>
  </si>
  <si>
    <t>kmatsumo@splash.princeton.edu; jean@ldeo.columbia.edu; boba@ldeo.columbia.edu</t>
  </si>
  <si>
    <t>; Matsumoto, Katsumi/X-3706-2018; Lynch-Stieglitz, Jean/J-2277-2018</t>
  </si>
  <si>
    <t>Anderson, Robert/0000-0002-8472-2494; Matsumoto, Katsumi/0000-0002-5832-9592; Lynch-Stieglitz, Jean/0000-0002-9353-1972</t>
  </si>
  <si>
    <t>10.1029/2000PA000549</t>
  </si>
  <si>
    <t>473WW</t>
  </si>
  <si>
    <t>WOS:000171072800001</t>
  </si>
  <si>
    <t>Chase, Z; Anderson, RF; Fleisher, MQ</t>
  </si>
  <si>
    <t>Evidence from authigenic uranium for increased productivity of the glacial Subantarctic Ocean</t>
  </si>
  <si>
    <t>SOUTHERN INDIAN-OCEAN; ANTARCTIC ICE CORE; NORTH-ATLANTIC; ORGANIC-CARBON; DEEP-WATER; BIOLOGICAL PRODUCTIVITY; INTERGLACIAL CHANGES; MARINE-SEDIMENTS; ATMOSPHERIC CO2; LAST GLACIATION</t>
  </si>
  <si>
    <t>Authigenic uranium is precipitated in reducing sediments and therefore responds both to changes in particulate organic carbon flux to the sediment and to changes in the oxygen concentration of bottom waters. By examining a large number of cores over a wide latitudinal and depth range in the Atlantic sector of the Southern Ocean, we hope to distinguish between a predominantly productivity-driven authigenic U signal and a circulation or sediment-focusing signal. We find little to no authigenic U in Holocene sediments throughout the South Atlantic Ocean. Glacial sediments north of similar to 40 degreesS lack authigenic U, whereas sediments from the Subantarctic Zone show substantial enrichments in authigenic U relative to the Holocene (up to similar to5.3 ppm). The widespread distribution of glacial U enrichment, even in cores with no glacial-interglacial change in mass accumulation rate, implies that U deposition was not caused by an increased supply of organic carbon via sediment focusing. Authigenic U and organic carbon in a shallow core (similar to 1000 m) from the Subantarctic region show the same glacial increase found in the deep cores. Because this site was well ventilated during the Last Glacial Maximum, its record provides further evidence that increased glacial productivity of the Subantarctic region contributed to the high concentrations of authigenic U found in the glacial sections of deep cores.</t>
  </si>
  <si>
    <t>Columbia Univ, Lamont Doherty Geol Observ, Palisades, NY 10964 USA; Columbia Univ, Dept Earth &amp; Environm Sci, New York, NY USA</t>
  </si>
  <si>
    <t>Chase, Z (corresponding author), Columbia Univ, Lamont Doherty Geol Observ, Palisades, NY 10964 USA.</t>
  </si>
  <si>
    <t>Chase, Zanna/E-9232-2013</t>
  </si>
  <si>
    <t>Chase, Zanna/0000-0001-5060-779X; Anderson, Robert/0000-0002-8472-2494</t>
  </si>
  <si>
    <t>10.1029/2000PA000542</t>
  </si>
  <si>
    <t>Green Published, Green Accepted, Bronze</t>
  </si>
  <si>
    <t>WOS:000171072800003</t>
  </si>
  <si>
    <t>Cockell, CS; Scherer, K; Horneck, G; Rettberg, P; Facius, R; Gugg-Helminger, A; Driscoll, C; Lee, P</t>
  </si>
  <si>
    <t>Exposure of arctic field scientists to ultraviolet radiation evaluated using personal dosimeters</t>
  </si>
  <si>
    <t>PHOTOCHEMISTRY AND PHOTOBIOLOGY</t>
  </si>
  <si>
    <t>SOLAR UV-RADIATION; BIOFILM; ANTARCTICA; AMPLIFICATION</t>
  </si>
  <si>
    <t>During, July 2000 we used an electronic personal dosimeter (X-2000) and a biological dosimeter (Deutsches Zentrum, fur Luft- und Raumfahrt: Biofilm) to characterize the UV radiation exposure of arctic field scientists involved in biological and geological fieldwork. These personnel were working at the Haughton impact structure on Devon Island (75 degreesN) in the Canadian High Arctic under a 24 h photoperiod. During a typical day of field activities under a clear sky, the total daily erythermally weighted exposure,. as, measured by electronic dosimetry, was up to 5.8 standard erythemal dose (SED). Overcast skies. (typically 7-8 okta of stratus); reduced exposures by a mean of 54%. We estimate that during a month of field activity in July a typical field scientist at this latitude could potentially receive similar to 80 SED to the face. Because of body movements the upper body was exposed to a UV regimen that often changed on second-to-second timescales as assessed by electronic dosimetry. Over a typical 10 min period on vehicle traverse, we found that erythemal exposure could vary to up to 87% of the mean exposure. Time-integrated exposures showed that the type of outdoor field activities in the treeless expanse of the polar desert had little effect on the exposure received. Although absolute exposure changed in accordance with the time of day, the exposure ratio (dose received over horizontal dose) did not vary much over the day. Under clear skies the mean exposure ratio was 0.35 +/- 0.12 for individual activities at different times of the day assessed using electronic dosimetry. Biological dosimetry showed that the occupation was important in determining daily exposures. In our study, scientists in the field received an approximately two-fold higher dose than individuals, such as, medics, and computer scientists, who spent the majority of their time in tents.</t>
  </si>
  <si>
    <t>British Antarctic Survey, Cambridge CB3 0ET, England; Inst Aerosp Med, German Aerosp Ctr, Cologne, Germany; Gigahertz Opt, Puchheim, Germany; NASA, Ames Res Ctr, Moffett Field, CA 94035 USA</t>
  </si>
  <si>
    <t>UK Research &amp; Innovation (UKRI); Natural Environment Research Council (NERC); NERC British Antarctic Survey; Helmholtz Association; German Aerospace Centre (DLR); National Aeronautics &amp; Space Administration (NASA); NASA Ames Research Center</t>
  </si>
  <si>
    <t>British Antarctic Survey, High Cross,Madingley Rd, Cambridge CB3 0ET, England.</t>
  </si>
  <si>
    <t>csco@bas.ac.uk</t>
  </si>
  <si>
    <t>Rettberg, Petra/AAI-4493-2021</t>
  </si>
  <si>
    <t>Rettberg, Petra/0000-0003-4439-2395</t>
  </si>
  <si>
    <t>0031-8655</t>
  </si>
  <si>
    <t>1751-1097</t>
  </si>
  <si>
    <t>PHOTOCHEM PHOTOBIOL</t>
  </si>
  <si>
    <t>Photochem. Photobiol.</t>
  </si>
  <si>
    <t>10.1562/0031-8655(2001)074&lt;0570:EOAFST&gt;2.0.CO;2</t>
  </si>
  <si>
    <t>Biochemistry &amp; Molecular Biology; Biophysics</t>
  </si>
  <si>
    <t>485WP</t>
  </si>
  <si>
    <t>WOS:000171786700009</t>
  </si>
  <si>
    <t>Fox, AJ; Gooch, MJ</t>
  </si>
  <si>
    <t>Automatic DEM generation for antarctic terrain</t>
  </si>
  <si>
    <t>PHOTOGRAMMETRIC RECORD</t>
  </si>
  <si>
    <t>area-based matching; digital elevation model; failure warning model; glaciated terrain; optimum collection strategy; orthophotography</t>
  </si>
  <si>
    <t>DIGITAL PHOTOGRAMMETRY</t>
  </si>
  <si>
    <t>Automatic digital elevation model (DEM) generation has become an established technique within mapping agencies. This, paper assesses the effectiveness of automatic DEM generation using area-based matching for glaciated terrain in Antarctica. DEM accuracy is assessed by comparison with check data acquired using analytical photogrammetry and independent field measurements. An optimum DEM collection strategy is identified DEM success is linked to ground terrain type and it is found that areas of a DEM which Can be collected successfully are relatively insensitive to changes in the collection strategy. A method of isolating unsuccessful areas of a DEM for manual editing is tested for Antarctic terrain. In this example, over 90% success is achieved in identifying erroneous DEM results measured against check data.</t>
  </si>
  <si>
    <t>British Antarctic Survey, Cambridge CB3 0ET, England; Univ Loughborough, Loughborough, Leics, England</t>
  </si>
  <si>
    <t>UK Research &amp; Innovation (UKRI); Natural Environment Research Council (NERC); NERC British Antarctic Survey; Loughborough University</t>
  </si>
  <si>
    <t>Fox, AJ (corresponding author), British Antarctic Survey, Madingley Rd, Cambridge CB3 0ET, England.</t>
  </si>
  <si>
    <t>PHOTOGRAMMETRIC SOC, UNIV COLL LONDON</t>
  </si>
  <si>
    <t>DEPT GEOMATIC ENGINEERING, GOWER ST, LONDON WC1E 6BT, ENGLAND</t>
  </si>
  <si>
    <t>0031-868X</t>
  </si>
  <si>
    <t>PHOTOGRAMM REC</t>
  </si>
  <si>
    <t>Photogramm. Rec.</t>
  </si>
  <si>
    <t>10.1111/0031-868X.00183</t>
  </si>
  <si>
    <t>Geography, Physical; Geosciences, Multidisciplinary; Remote Sensing; Imaging Science &amp; Photographic Technology</t>
  </si>
  <si>
    <t>Physical Geography; Geology; Remote Sensing; Imaging Science &amp; Photographic Technology</t>
  </si>
  <si>
    <t>555CG</t>
  </si>
  <si>
    <t>WOS:000175775200005</t>
  </si>
  <si>
    <t>Watkins, NW; Oughton, S; Freeman, MP</t>
  </si>
  <si>
    <t>What can we infer about the underlying physics from burst distributions observed in an RMHD simulation?</t>
  </si>
  <si>
    <t>PLANETARY AND SPACE SCIENCE</t>
  </si>
  <si>
    <t>25th General Assembly of the European-Geophysical-Society</t>
  </si>
  <si>
    <t>APR 24-29, 2000</t>
  </si>
  <si>
    <t>NICE, FRANCE</t>
  </si>
  <si>
    <t>SELF-ORGANIZED CRITICALITY; WAITING-TIME DISTRIBUTION; SOLAR-FLARES; TURBULENCE; MODEL; MAGNETOHYDRODYNAMICS; STATISTICS; EQUATIONS; PARADIGM; ORIGIN</t>
  </si>
  <si>
    <t>We determine that the sizes of bursts in mean-square current density in a reduced magnetohydrodynamic (RMHD) simulation follow a power-law probability density function (PDF). The PDFs for burst durations and waiting time between bursts are clearly not exponential and could also be power-law. This suffices to distinguish their behaviour from the original Bak et al. sandpile model which had exponential waiting time PDFs. However, it is not sufficient to distinguish between turbulence, some other SOC-like models, and other red noise sources. (C) 2001 Elsevier Science Ltd. All rights reserved.</t>
  </si>
  <si>
    <t>British Antarctic Survey, NERC, Cambridge CB3 0ET, England; UCL, Dept Matemat, London WC1E 6BT, England</t>
  </si>
  <si>
    <t>UK Research &amp; Innovation (UKRI); Natural Environment Research Council (NERC); NERC British Antarctic Survey; University of London; University College London</t>
  </si>
  <si>
    <t>Watkins, NW (corresponding author), British Antarctic Survey, NERC, High Cross,Madingley Rd, Cambridge CB3 0ET, England.</t>
  </si>
  <si>
    <t>NWW@bas.ac.uk</t>
  </si>
  <si>
    <t>Watkins, Nicholas Wynn/C-5140-2008; Watkins, Nick/GPX-7439-2022; Oughton, Sean/A-3380-2012; Freeman, Mervyn/E-5687-2019</t>
  </si>
  <si>
    <t>Watkins, Nicholas Wynn/0000-0003-4484-6588; Watkins, Nick/0000-0003-4484-6588; Oughton, Sean/0000-0002-2814-7288; Freeman, Mervyn/0000-0002-8653-8279</t>
  </si>
  <si>
    <t>0032-0633</t>
  </si>
  <si>
    <t>PLANET SPACE SCI</t>
  </si>
  <si>
    <t>Planet Space Sci.</t>
  </si>
  <si>
    <t>10.1016/S0032-0633(01)00064-2</t>
  </si>
  <si>
    <t>466TZ</t>
  </si>
  <si>
    <t>WOS:000170663400007</t>
  </si>
  <si>
    <t>Frederich, M; Sartoris, FJ; Pörtner, HO</t>
  </si>
  <si>
    <t>Distribution patterns of decapod crustaceans in polar areas:: a result of magnesium regulation?</t>
  </si>
  <si>
    <t>ARENICOLA-MARINA; MAJA-SQUINADO; TEMPERATURE; PERFORMANCE; TOLERANCE; ROSCOFF; CRAB; SEA</t>
  </si>
  <si>
    <t>Nearly all decapod crustaceans found in Antarctic waters south of the Antarctic Convergence are caridean shrimps (Natantia) while the group of Reptantia is largely absent in this area. Progress in the development of a physiological hypothesis is reported, which explains this distribution pattern based on differences in the regulation of magnesium levels in the haemolymph ([Mg2+](HL)) and on the Mg2+ dependence of threshold temperatures below which cold-induced failure of cardiac and ventilatory performance occurs. Previous studies had shown that an increase in oxygen consumption and activity levels in the cold can be induced by experimental reduction of [Mg2+](HL) in different reptant decapod species. In the present study, we tested the potential of these experimental findings for predicting the effect of low [Mg2+](HL) in nature, and investigated temperature-induced changes in oxygen consumption in two species with low but different [Mg2+](HL) from southern Chile, Halicarcinus planatus and Acanthocyclus albatrossis ([Mg2+](HL)= 10.7 and 21.6 mmol 1(-1), respectively). In accordance with previous findings, low [Mg2+](HL) levels were associated with a reduction of thermal sensitivity and a higher metabolic rate in the cold. A model is developed which describes how [Mg2+](HL) reduction caused a threshold temperature (pejus temperature, Tp) to fall, which characterises the onset of cold-induced failure in oxygen supply to tissues. This threshold temperature is interpreted, not only to indicate the limits of cold tolerance, but also of geographical distribution. Tp is shifted towards lower temperatures in Natantia, which are efficient [Mg2+](HL) regulators. In contrast, Reptantia, which are poor [Mg2+](HL) regulators, appear unable to colonise the permanently cold water of the Antarctic due to insufficient capacity of cardiac performance and, therefore, largely reduced scope for activity at high [Mg2+](HL).</t>
  </si>
  <si>
    <t>Pörtner, HO (corresponding author), Alfred Wegener Inst Polar &amp; Marine Res, Columbusstr, D-27568 Bremerhaven, Germany.</t>
  </si>
  <si>
    <t>Pörtner, Hans-O./K-9429-2016; Pörtner, Hans-O./ISU-9397-2023</t>
  </si>
  <si>
    <t>Pörtner, Hans-O./0000-0001-6535-6575; Sartoris, Franz-Josef/0000-0001-7228-3220; Frederich, Markus/0000-0002-5199-9788</t>
  </si>
  <si>
    <t>10.1007/s003000100270</t>
  </si>
  <si>
    <t>483FK</t>
  </si>
  <si>
    <t>WOS:000171622800002</t>
  </si>
  <si>
    <t>Schnack-Schiel, SB; Dieckmann, GS; Gradinger, R; Melnikov, IA; Spindler, M; Thomas, DN</t>
  </si>
  <si>
    <t>Meiofauna in sea ice of the Weddell Sea (Antarctica)</t>
  </si>
  <si>
    <t>LIFE-CYCLE STRATEGY; ANTARCTIC KRILL; EUPHAUSIA-SUPERBA; ABUNDANCE; COPEPOD; BIOMASS</t>
  </si>
  <si>
    <t>Sea-ice meiofauna was studied during various cruises to the Weddell Sea. Foraminifers dominate (75%) the sea-ice community in terms of numerical abundance while turbellarians dominate (45%) in terms of biomass. Distribution of organisms is patchy and varies considerably between cruises but also between sampling sites within one cruise. The bulk of the meio-fauna is concentrated in the lowest parts of the sea ice, especially during winter and autumn. However, in porous summer sea ice, sympagic organisms also occur in high densities in upper and intermediate layers of sea ice. Proto- and metazoans associated with Antarctic sea ice include organisms actually living in sea ice, as well as those on the underside of floes and in the underlying water. The sea-ice habitat serves as a feeding ground, as well as an important nursery for juveniles, providing energy-rich food resources. The ice also constitutes a shelter from predators.</t>
  </si>
  <si>
    <t>Alfred Wegener Inst Polar &amp; Marine Res, D-27515 Bremerhaven, Germany; Univ Kiel, Inst Polarokol, D-24148 Kiel, Germany; Russian Acad Sci, PP Shirshov Oceanol Inst, Moscow 117857, Russia; Univ Wales, Sch Ocean Sci, Menai Bridge LL59 5EY, Anglesey, Wales</t>
  </si>
  <si>
    <t>Helmholtz Association; Alfred Wegener Institute, Helmholtz Centre for Polar &amp; Marine Research; University of Kiel; Russian Academy of Sciences; Shirshov Institute of Oceanology</t>
  </si>
  <si>
    <t>Alfred Wegener Inst Polar &amp; Marine Res, Postfach 120161, D-27515 Bremerhaven, Germany.</t>
  </si>
  <si>
    <t>sschiel@awi-bremerhaven.de</t>
  </si>
  <si>
    <t>Dieckmann, Gerhard S/B-4307-2010; Thomas, David Neville/B-1448-2010; Gradinger, Rolf/E-4965-2015</t>
  </si>
  <si>
    <t>Thomas, David Neville/0000-0001-8832-5907; Gradinger, Rolf/0000-0001-6035-3957</t>
  </si>
  <si>
    <t>10.1007/s003000100273</t>
  </si>
  <si>
    <t>WOS:000171622800003</t>
  </si>
  <si>
    <t>Eastman, JT; Eakin, RR</t>
  </si>
  <si>
    <t>Mental barbel and meristic variation in the Antarctic notothenioid fish Dolloidraco longedorsalis (Perciformes: Artedidraconidae) from the Ross Sea</t>
  </si>
  <si>
    <t>WEDDELL SEA; FAUNA</t>
  </si>
  <si>
    <t>A collection of 58 specimens of Dolloidraco longedorsalis from the southwestern Ross Sea was studied for intraspecific variation in the number of second dorsal and anal rays, number of vertebrae, and length and shape of the mental barbel - a key diagnostic and taxonomic character in this family. Ranges for meristics are compact and extend documented values to 13 for anal rays and 37 for vertebrae. There is a nearly twofold difference in the relative length of the mental barbel. There are no significant differences between the sexes in any meristic or morphometric feature. The terminal expansion of the barbel exhibits four types, documented with illustrations and histology: typical expanded form (43%), not expanded or tapered (33%), slightly expanded (22%), and large expansion (2%). There is no relationship between absolute and relative barbel length and sex or barbel type and sex. There is no relationship between barbel type and size of the specimen. Twenty-five percent of specimens have the epidermis of the terminal expansion arranged as broad ridges or mounds. The mental barbel of D. longedorsalis is therefore individually variable with no evidence of sexual dimorphism, and the type of barbel does not vary ontogenetically. Histological analysis of the barbel reveals that the terminal expansion consists of a thick epidermis and that dermal papillae are responsible for the pattern of surface projections sometimes present. The epidermis near the tip of the barbel is twofold thicker in specimens with a terminal expansion. The distal morphology of the barbel, whether straight or expanded, probably has little functional significance. The barbel is richly supplied with nerves and blood vessels and the core consists of pseudocartilage. The barbel is probably a somatosensory organ.</t>
  </si>
  <si>
    <t>Ohio Univ, Coll Osteopath Med, Dept Biomed Sci, Athens, OH 45701 USA; Univ New England, Dept Life Sci, Portland, ME 04103 USA</t>
  </si>
  <si>
    <t>University System of Ohio; Ohio University; University of New England - Maine</t>
  </si>
  <si>
    <t>Eastman, Joseph T./O-6150-2019</t>
  </si>
  <si>
    <t>10.1007/s003000100274</t>
  </si>
  <si>
    <t>WOS:000171622800004</t>
  </si>
  <si>
    <t>Kamler, E; Krasicka, B; Rakusa-Suszczewski, S</t>
  </si>
  <si>
    <t>Comparison of lipid content and fatty acid composition in muscle and liver of two notothenioid fishes from Admiralty Bay (Antarctica): an eco-physiological perspective</t>
  </si>
  <si>
    <t>CHEMICAL-COMPOSITION; SEASONAL-CHANGES; SOUTH SHETLAND; BIOLOGY; TISSUES; GONAD; FLESH; BODY; COD</t>
  </si>
  <si>
    <t>During Antarctic summer, total lipids (g/100 g dry matter) in Notothenia coriiceps (n = 18) and Lepido-notothen nudifrons (n = 10) were low (6.1 and 4.7 in muscle), which is typical of Antarctic benthic species. The liver of female N. coriiceps was heavier and contained more lipids per dry weight than the liver of males. The fatty acid composition of N. coriiceps and L. nudifrons was dominated by polyunsaturated fatty acids (PUFA, respectively, 44 and 49% of total fatty acids in muscle, 31 and 46% in liver), which included primarily C20:5n-3 (18 and 19% in muscle, 13 and 18% in liver) and C22:6n-3 (15 and 19% in muscle, 12 and 20% in liver). In L. nudifrons, the levels of some unsaturated fatty acids increased with age and size. The high percent unsaturation (PUFA + MUFA, 78 and 80% in muscle, 82 and 80% in liver) is a response to low water temperature (-0.4 degreesC). Fish fatty acid profiles reflect fatty acid profiles of the diet (amphipods, macroalgae and fish).</t>
  </si>
  <si>
    <t>Polish Acad Sci, Dept Antarctic Biol, PL-02141 Warsaw, Poland; Agr Univ Warsaw, Fac Vet Med, Dept Anim Physiol, PL-02787 Warsaw, Poland</t>
  </si>
  <si>
    <t>Polish Academy of Sciences; Warsaw University of Life Sciences</t>
  </si>
  <si>
    <t>Polish Acad Sci, Dept Antarctic Biol, Ustrzycka 10-12, PL-02141 Warsaw, Poland.</t>
  </si>
  <si>
    <t>kamler@dab.waw.pl</t>
  </si>
  <si>
    <t>WOS:000171622800005</t>
  </si>
  <si>
    <t>Block, W; Convey, P</t>
  </si>
  <si>
    <t>Seasonal and long-term variation in body-water content of an Antarctic springtail - a response to climate change?</t>
  </si>
  <si>
    <t>COLLEMBOLAN CRYPTOPYGUS-ANTARCTICUS; TERRESTRIAL ARTHROPODS; COLD; STRATEGIES; PENINSULA; PLANTS</t>
  </si>
  <si>
    <t>Body-water content of field-fresh samples of the springtail, Cryptopygus antarcticus Willem (Collembola, Isotomidae) was measured at monthly intervals over 11 years (1984-1995) at Signy Island, in the maritime Antarctic. A clear annual cycle of variation in water content was observed, with maxima in the austral spring and autumn, and minima in midwinter and midsummer. There was no overall trend during the 11-year study, in contrast to an earlier analysis of the initial 1984-1987 period, which demonstrated a significant increase in body-water content (from 56.6 to 66.0% fresh weight). It is suggested that, between 1984 and 1987, water stress on C. antarcticus in its environment declined, and thereafter stabilised between 1988 and 1995. Springtail body-water content between 1984 and 1995 showed significant increases in several months, particularly in autumn and early winter, with decreases in midsummer. This was consistent with the predicted consequences of the pattern of regional climatic warming in the maritime Antarctic, where small increments in temperature have effectively increased the length of the potential biologically active period. C. antarcticus responds rapidly to local and short-term variations in environmental conditions and will be able to take advantage of increases in the thermal energy budget and growing season length. It is predicted that climate warming could lead to a reduction in life-cycle duration, an increase in population density and extension of geographical range.</t>
  </si>
  <si>
    <t>Block, W (corresponding author), British Antarctic Survey, NERC, High Cross,Madingley Rd, Cambridge CB3 0ET, England.</t>
  </si>
  <si>
    <t>Convey, Peter/AAV-5728-2020</t>
  </si>
  <si>
    <t>Convey, Peter/0000-0001-8497-9903</t>
  </si>
  <si>
    <t>WOS:000171622800008</t>
  </si>
  <si>
    <t>Pasternak, AF; Schnack-Schiel, SB</t>
  </si>
  <si>
    <t>Seasonal feeding patterns of the dominant Antarctic copepods Calanus propinquus and Calanoides acutus in the Weddell Sea</t>
  </si>
  <si>
    <t>LIFE-CYCLE STRATEGIES; MIDWATER FOOD WEB; MARGINAL ICE-ZONE; RHINCALANUS-GIGAS; SOUTHERN-OCEAN; ACARTIA-TONSA; SCOTIA SEA; ZOOPLANKTON; SIZE; SELECTIVITY</t>
  </si>
  <si>
    <t>The diets and feeding activity patterns of two dominant Antarctic copepods, Calanus propinquus and Calanoides acutus, were studied throughout the seasonal cycle on material from several Polarstern cruises to the southeastern Weddell Sea. The observed differences in feeding patterns were closely linked with the peculiarities of the life-cycle strategies and changed with ambient food concentration. Calanoides acutus underwent diapause at depth and was never found feeding in winter. The winter descent of the population of Calanus propinquus was less pronounced, as some of the older copepodids stayed in the upper layer and contained food. The period of active feeding in Calanoides acutus was shorter than in Calanus propinquus. The former did not start feeding before late in spring. Feeding activity at the main study region (south of 67 degreesS) was compared with that at the northern (60-67 degreesS) stations with higher food abundance, where feeding activity of Calanus propinquus was high even in winter. Calanoides acutus contained a higher proportion of diatoms and unidentified mass in the gut, while the Calanus propinquus diet included more dinoflagellates, proto- and metazoan prey. The proportion of unidentified mass decreased in the older developmental stages and from winter towards autumn; it was higher in the deep layer. Gut contents of the two species were compared with seasonal distribution of the food items in the environment. The differences in feeding of the two species are directly connected to a higher degree of carnivory in Calanus propinquus, especially when phytoplankton food was scarce, and reflect the specificity in the life-cycle strategies, which is rigid in Calanoides acutus, and more flexible in Calanus propinquus.</t>
  </si>
  <si>
    <t>RAS, PP Shirshov Oceanol Inst, Moscow 117853, Russia; Alfred Wegener Inst Polar &amp; Marine Res, D-27515 Bremerhaven, Germany</t>
  </si>
  <si>
    <t>Russian Academy of Sciences; Shirshov Institute of Oceanology; Helmholtz Association; Alfred Wegener Institute, Helmholtz Centre for Polar &amp; Marine Research</t>
  </si>
  <si>
    <t>Pasternak, AF (corresponding author), RAS, PP Shirshov Oceanol Inst, 36 Nakhimov Av, Moscow 117853, Russia.</t>
  </si>
  <si>
    <t>Pasternak, Anna/E-6121-2014</t>
  </si>
  <si>
    <t>Pasternak, Anna/0000-0003-0317-5861</t>
  </si>
  <si>
    <t>10.1007/s003000100283</t>
  </si>
  <si>
    <t>WOS:000171622800009</t>
  </si>
  <si>
    <t>Brandt, A</t>
  </si>
  <si>
    <t>Great differences in peracarid crustacean density between the Arctic and Antarctic deep sea</t>
  </si>
  <si>
    <t>SOUTH SHETLAND ISLANDS; EPIBENTHIC-SLEDGE; KOLBEINSEY RIDGE; DIVERSITY; MALACOSTRACA; ASSEMBLAGES; GREENLAND; NORTH; ABUNDANCE; PATTERNS</t>
  </si>
  <si>
    <t>Density of peracarid crustaceans (Amphipoda, Cumacea, Isopoda, Mysidacea and Tanaidacea) from epibenthic sledge samples is presented from Weddell Sea stations (Vestkapp and Halley Bay ANT XV-3). These data from both the supranet (1-1.3 m above the ground) and epinet (27-60 cm. above the ground) of the epibenthic sledge are compared with samples taken at comparable depths in the Arctic Ocean (ARK X-I and ARK XI-2) using the same gear. The latter showed I magnitude higher density values in similar depth zones in the Arctic Ocean, possibly reflecting the age of the environment and maturity of the benthic communities. Densities of Peracarida increased slightly with increasing depth in the Arctic, whereas they decreased with increasing depth in the Weddell Sea, especially at around 1,000 m in the epinet samples. Species richness of Peracarida is presented from the supranet samples for the first time in the Weddell Sea. In the Antarctic samples, Mysidacea with their hyperbenthic mode of life were generally collected more frequently in the supranet than in the epinet, while the other taxa were more abundant in the epinet, even at deeper stations at the shelf break. cept for Euphausiacea and Copepoda, the Peracarida are the most successful taxon of Crustacea in the Southern Ocean, with a high percentage of endemic species (approximate to 80%) (Brandt 1999). One goal of the EASIZ II (ANT XV/3) cruise was to fill gaps in the taxonomic inventory of many groups (Arntz and Gutt 1999). In order to collect smaller species and especially the vagile, hyperbenthic fauna, an epibenthic sledge (EBS) (Brandt and Barthel 1995; Rothlisberg and Pearcy 1977) was employed. Densities of Peracarida sampled in the Weddell Sea were compared with results obtained in the same way from the Arctic Ocean, and an explanation for differences sought.</t>
  </si>
  <si>
    <t>Univ Hamburg, Inst Zool, D-20146 Hamburg, Germany; Univ Hamburg, Zool Museum, D-20146 Hamburg, Germany</t>
  </si>
  <si>
    <t>Brandt, A (corresponding author), Univ Hamburg, Inst Zool, Martin Luther King Pl 3, D-20146 Hamburg, Germany.</t>
  </si>
  <si>
    <t>Brandt, Angelika/C-1630-2018</t>
  </si>
  <si>
    <t>10.1007/s003000100290</t>
  </si>
  <si>
    <t>WOS:000171622800010</t>
  </si>
  <si>
    <t>Cerrano, C; Bavestrello, G; Calcinai, B; Cattaneo-Vietti, R; Chiantore, M; Guidetti, M; Sarà, A</t>
  </si>
  <si>
    <t>Bioerosive processes in Antarctic seas</t>
  </si>
  <si>
    <t>CARBONATES; SKELETAL</t>
  </si>
  <si>
    <t>To date, marine boring organisms are not known for the whole Antarctic region, probably because of the scarcity of calcareous substrata. In Terra Nova Bay (Ross Sea), the study of some populations of the scallop Adamussium colbecki allowed us to record a bioerosive activity on carbonates due to a chlorophyte, belonging to the genus Phaeophyla. The same kind of infestation was also observed on the thick shells of the gastropod Neobuccinum eatoni. The algae actively bore the light-exposed portions of the shells showing, in. A. colbecki, an infestation that is strongly size dependent; the ageing of the periostracum is among the most probable causes. The pattern of infestation is not homogeneous in different populations, probably in relation to irradiance intensity; depth, sedimentation rates and ice cover negatively affect the growth and distribution of Phaeophyla sp.</t>
  </si>
  <si>
    <t>Univ Genoa, Dipartimento Studio Territorio &amp; Risorse, I-16132 Genoa, Italy; Univ Ancona, Ist Sci Mare, I-60131 Ancona, Italy</t>
  </si>
  <si>
    <t>University of Genoa; Marche Polytechnic University</t>
  </si>
  <si>
    <t>Univ Genoa, Dipartimento Studio Territorio &amp; Risorse, Corso Europa 26, I-16132 Genoa, Italy.</t>
  </si>
  <si>
    <t>cerrano@dipteris.unige.it</t>
  </si>
  <si>
    <t>Bavestrello, Giorgio/JXN-5230-2024; Cerrano, Carlo/AAF-3557-2019; Chiantore, Mariachiara/C-7070-2017</t>
  </si>
  <si>
    <t>Cerrano, Carlo/0000-0001-9580-5546; Sara, Antonio/0000-0003-4551-1042; Chiantore, Mariachiara/0000-0002-5862-1470</t>
  </si>
  <si>
    <t>10.1007/s003000100294</t>
  </si>
  <si>
    <t>WOS:000171622800011</t>
  </si>
  <si>
    <t>Bintanja, R</t>
  </si>
  <si>
    <t>Modification of the wind speed profile caused by snowdrift: Results from observations</t>
  </si>
  <si>
    <t>QUARTERLY JOURNAL OF THE ROYAL METEOROLOGICAL SOCIETY</t>
  </si>
  <si>
    <t>Antarctica; atmospheric boundary layer; turbulence; two-phase flow</t>
  </si>
  <si>
    <t>ATMOSPHERIC BOUNDARY-LAYER; BLOWING SNOW; SUSPENDED SEDIMENT; 2-PHASE FLOWS; TURBULENCE; MODEL; SUSPENSION; ANTARCTICA</t>
  </si>
  <si>
    <t>This paper investigates how snowdrift influences the wind speed profile on the basis of meteorological and snowdrift data collected over an Antarctic snow surface during the austral summer. The friction associated with saltating snowdrift is found to significantly affect the wind speed profile by enhancing the apparent surface roughness. Several aspects of the wind speed data suggest the existence of the particle buoyancy effect associated with suspended snow particles. This effect has been theoretically predicted for snowdrift and experimentally verified for other two-phase flows (e.g. suspended sediment in water). The observed impact of snowdrift saltation and suspension on the wind speed gradient, the total buoyancy and turbulent production rate are compared with theoretical/empirical estimates of the impact of saltation effects and particle buoyancy in suspension. It is shown that the particle buoyancy effect in snowdrift is very probably real and non-negligible, but winds were not strong enough to demonstrate this conclusively.</t>
  </si>
  <si>
    <t>Univ Utrecht, Inst Marine &amp; Atmospher Res Utrecht, NL-3508 TA Utrecht, Netherlands</t>
  </si>
  <si>
    <t>Utrecht University</t>
  </si>
  <si>
    <t>Bintanja, R (corresponding author), Univ Utrecht, Inst Marine &amp; Atmospher Res Utrecht, POB 80005, NL-3508 TA Utrecht, Netherlands.</t>
  </si>
  <si>
    <t>Bintanja, Richard/0000-0002-0465-5923</t>
  </si>
  <si>
    <t>ROYAL METEOROLOGICAL SOC</t>
  </si>
  <si>
    <t>104 OXFORD ROAD, READING RG1 7LJ, BERKS, ENGLAND</t>
  </si>
  <si>
    <t>0035-9009</t>
  </si>
  <si>
    <t>Q J ROY METEOR SOC</t>
  </si>
  <si>
    <t>Q. J. R. Meteorol. Soc.</t>
  </si>
  <si>
    <t>A</t>
  </si>
  <si>
    <t>10.1002/qj.49712757712</t>
  </si>
  <si>
    <t>487TC</t>
  </si>
  <si>
    <t>WOS:000171890500011</t>
  </si>
  <si>
    <t>Jian, ZM; Cheng, XR; Zhao, QH; Wang, JL; Wang, PX</t>
  </si>
  <si>
    <t>Oxygen isotope stratigraphy and events in the northern South China Sea during the last 6 million years</t>
  </si>
  <si>
    <t>oxygen isotope stratigraphy; Pliocene-Pleistocene; Northern Hemisphere glaciation; middle Pleistocene revolution; South China Sea</t>
  </si>
  <si>
    <t>WATER CIRCULATION; WESTERN PACIFIC; PLIOCENE; CALIBRATION; TIMESCALE; RECORDS; HISTORY</t>
  </si>
  <si>
    <t>Based on the stable isotopic analysis of more than 1000 samples of planktonic and benthic foraminifers from ODP Site 1148 in the northern South China Sea (SCS), the oxygen isotope stratigraphy has been applied to the last 3 million years for the first time in the SGS. Furthermore, the paleoceanographic changes in the northern SCS during the last 6 million years have been unraveled. The benthic foraminiferal delta(18)O record shows that before similar to3.1 Ma the SCS was much more influenced by the warm intermediate water of the Pacific. The remarkable decrease in the deepwater temperature of the SCS during the period of 3.1-2.5 Ma demonstrates the formation of the Northern Hemisphere ice-sheet. However, the several sea surface temperature (SST) reductions during the early and middle Pliocene, reflected by the planktonic foraminiferal delta(18)O, might be related to the ice-sheet growth in the Antarctic region. Only those stepwise and irreversible SST reductions during the period of similar to2.2-0.9 Ma could be related to the formation and growth of the Northern Hemisphere ice-sheet.</t>
  </si>
  <si>
    <t>Tongji Univ, Minist Educ, Key Lab Marine Geol, Shanghai 200092, Peoples R China</t>
  </si>
  <si>
    <t>Tongji University</t>
  </si>
  <si>
    <t>Jian, ZM (corresponding author), Tongji Univ, Minist Educ, Key Lab Marine Geol, Shanghai 200092, Peoples R China.</t>
  </si>
  <si>
    <t>Zhang, Chi/JSK-0744-2023</t>
  </si>
  <si>
    <t>10.1007/BF02907088</t>
  </si>
  <si>
    <t>514RT</t>
  </si>
  <si>
    <t>WOS:000173455400012</t>
  </si>
  <si>
    <t>Alvarez, W</t>
  </si>
  <si>
    <t>Eastbound sublithosphere mantle flow through the Caribbean gap and its relevance to the continental undertow hypothesis</t>
  </si>
  <si>
    <t>TERRA NOVA</t>
  </si>
  <si>
    <t>AUSTRALIAN-ANTARCTIC DISCORDANCE; DRIVING MECHANISM; CENTRAL-AMERICA; PLATE MOTIONS; TECTONICS; BENEATH; CONVECTION; EVOLUTION; REGION</t>
  </si>
  <si>
    <t>Recent evidence indicates that beneath the Caribbean a tongue of sublithosphere mantle is flowing from the Pacific to the Atlantic, dragging the overlying lithosphere eastward: (i) Shear-wave splitting results from beneath the Andean subduction zone and Venezuela suggest mantle flow eastward through the Caribbean. (ii) Volcanic chemistry in Central America indicates a slab source beneath Nicaragua, but a different source in Costa Rica, above the proposed Pacific outflow. (iii) An extinct volcanic arc accreted to the margins of the Caribbean swept eastward through the Caribbean gap between North &amp; South America. The 1982 'continental undertow' model requires shallow-mantle flow through the Caribbean gap from the Pacific to the Atlantic, if continents have deep roots and if shallow-mantle flow beneath oceans is decoupled from convection at deeper levels. The new evidence from the Caribbean is thus compatible with the continental undertow model, and perhaps with other models involving decoupled shallow flow.</t>
  </si>
  <si>
    <t>Univ Calif Berkeley, Dept Earth &amp; Planetary Sci, Berkeley, CA 94720 USA; Osservatorio Geol Coldigioco, I-62020 Frontale Di Apiro, MC, Italy</t>
  </si>
  <si>
    <t>University of California System; University of California Berkeley</t>
  </si>
  <si>
    <t>Alvarez, W (corresponding author), Univ Calif Berkeley, Dept Earth &amp; Planetary Sci, Berkeley, CA 94720 USA.</t>
  </si>
  <si>
    <t>BLACKWELL PUBLISHING LTD</t>
  </si>
  <si>
    <t>9600 GARSINGTON RD, OXFORD OX4 2DG, OXON, ENGLAND</t>
  </si>
  <si>
    <t>0954-4879</t>
  </si>
  <si>
    <t>Terr. Nova</t>
  </si>
  <si>
    <t>10.1046/j.1365-3121.2001.00356.x</t>
  </si>
  <si>
    <t>516PW</t>
  </si>
  <si>
    <t>WOS:000173564900004</t>
  </si>
  <si>
    <t>Sagnotti, L; Macrí, P; Camerlenghi, A; Rebesco, M</t>
  </si>
  <si>
    <t>Environmental magnetism of Antarctic Late Pleistocene sediments and interhemispheric correlation of climatic events</t>
  </si>
  <si>
    <t>remanent magnetization; paleomagnetism; magnetic intensity; Antarctica; Heinrich events; correlation</t>
  </si>
  <si>
    <t>CONTINENTAL RISE WEST; LAST GLACIAL PERIOD; NORTH-ATLANTIC; GRAIN-SIZE; GEOMAGNETIC INTENSITY; NATURAL PYRRHOTITE; PYRITE FORMATION; PAST; ICE; SEA</t>
  </si>
  <si>
    <t>Recent developments in paleomagnetism and environmental magnetism provide new tools for the detailed correlation of climatically induced magnetic mineralogy changes in sedimentary sequences. Studies of these changes contribute to the reconstruction of climate history for the glacial-interglacial cycles of the Late Pleistocene and to the delineation of the range of natural variability for global climate during the past hundred thousands years. Here we show that sharp coercivity minima observed in fine-grained sediments from the continental rise of the western Antarctic Peninsula correlate to the major rapid cooling events of the northern Atlantic (Heinrich layers). We interpret such an environmental magnetic signal in terms of variations in deep sea diagenetic processes of sulfide formation, which reflect changes in the input of detrital organic matter controlled by sea-ice extent. With the inherent uncertainties in age controls, the sedimentary paleoclimatic markers of the two hemispheres are almost contemporaneous, but interhemispheric time lags or leads of the order of 1-2 kyr (such as those recently reported from the Greenland and Antarctic ice cores) are also compatible with the data. (C) 2001 Elsevier Science B.V. All rights reserved.</t>
  </si>
  <si>
    <t>Ist Nazl Geofis &amp; Vulcanol, I-00143 Rome, Italy; Ist Nazl Oceanog &amp; Geofis Sperimentale, I-34010 Sgonico, TS, Italy</t>
  </si>
  <si>
    <t>Istituto Nazionale Geofisica e Vulcanologia (INGV); Istituto Nazionale di Oceanografia e di Geofisica Sperimentale</t>
  </si>
  <si>
    <t>Sagnotti, L (corresponding author), Ist Nazl Geofis &amp; Vulcanol, Via Vigna Murata 605, I-00143 Rome, Italy.</t>
  </si>
  <si>
    <t>Rebesco, Michele/B-7462-2014; Macrì, Patrizia/ABD-2144-2021; Camerlenghi, Angelo/AAG-3852-2019; Camerlenghi, Angelo/O-1593-2013; Camerlenghi, Angelo/C-8816-2011; Sagnotti, Leonardo/AFM-3916-2022</t>
  </si>
  <si>
    <t>Rebesco, Michele/0000-0002-9492-4081; Macrì, Patrizia/0000-0003-2287-4019; Camerlenghi, Angelo/0000-0002-8128-9533; Camerlenghi, Angelo/0000-0002-8128-9533; Sagnotti, Leonardo/0000-0003-3944-201X</t>
  </si>
  <si>
    <t>SEP 30</t>
  </si>
  <si>
    <t>10.1016/S0012-821X(01)00438-1</t>
  </si>
  <si>
    <t>480GP</t>
  </si>
  <si>
    <t>WOS:000171453900007</t>
  </si>
  <si>
    <t>King, EC</t>
  </si>
  <si>
    <t>The crustal structure and sedimentation of the Weddell Sea embayment: implications for Gondwana reconstructions (vol 327, pg 195, 2000)</t>
  </si>
  <si>
    <t>TECTONOPHYSICS</t>
  </si>
  <si>
    <t>British Antarctic Survey, Div Phys Sci, Cambridge CB3 0ET, England</t>
  </si>
  <si>
    <t>King, EC (corresponding author), British Antarctic Survey, Div Phys Sci, Madingley Rd, Cambridge CB3 0ET, England.</t>
  </si>
  <si>
    <t>0040-1951</t>
  </si>
  <si>
    <t>Tectonophysics</t>
  </si>
  <si>
    <t>10.1016/S0040-1951(01)00122-6</t>
  </si>
  <si>
    <t>494MJ</t>
  </si>
  <si>
    <t>WOS:000172286200016</t>
  </si>
  <si>
    <t>Garstecki, T; Wickham, SA</t>
  </si>
  <si>
    <t>Effects of resuspension and mixing on population dynamics and trophic interactions in a model benthic microbial food web</t>
  </si>
  <si>
    <t>AQUATIC MICROBIAL ECOLOGY</t>
  </si>
  <si>
    <t>resuspension; microbial food web; trophic interactions; growth enhancement; ciliates; rhizopods; flagellates</t>
  </si>
  <si>
    <t>COMMUNITY STRUCTURE; SHALLOW LAKE; EMS ESTUARY; PHYTOPLANKTON; TURBULENCE; GROWTH; WIND; PROTISTS; MICROPHYTOBENTHOS; MICROPLANKTON</t>
  </si>
  <si>
    <t>The effects of resuspension and mixing on the population dynamics and trophic interactions in a simple benthic microbial food web were studied during 3 plankton wheel experiments of 9 to 15 d duration. The food web consisted of a mixed bacterial assemblage, the heterotrophic flagellate Bodo designis, the ciliate Euplotes balteatus and the rhizopod Vannella platypodia. The diatom Amphora coffeaeformis was included to maintain oxygen concentrations, B. designis, E. balteatus, V. platypodia and A. coffeaeformis are hereafter referred to by genus name alone. Population dynamics in 500 ml microcosms on rotating and non-rotating plankton wheels were compared, Final abundances of Amphora increased in suspension in all experiments. Resuspension increased initial growth rates and final abundances of Euplotes and Vannella during a whole-community experiment and a community subset experiment during which resuspension effects with and without the top predator Euplotes were compared. During the community subset experiment, suspended Bodo grew faster and reached higher final abundances than non-resuspended Bodo when Euplotes was absent, but experienced higher loss to Euplotes when the ciliate was present. Individual consumption rates of Bodo by Euplotes were estimated to be higher in suspension (5.5 vs 3.6 Bodo Euplotes(-1) h(-1)), which could not be explained by higher abundance of Bodo alone. Similar but non-significant trends were found for bacteria. During a third experiment, Euplotes did not benefit from resuspension at low food concentrations. Our results show that resuspension and mixing can enhance population growth of autotrophic and heterotrophic protists, and that the trophic coupling between flagellates and ciliates, and possibly between other microbial food web components, can become closer in suspension when the food supply is sufficient. This suggests that subsidiary energy input by resuspension and mixing may increase the biomass turnover in benthic microbial food webs.</t>
  </si>
  <si>
    <t>Univ Cologne, Inst Zool, D-50923 Cologne, Germany</t>
  </si>
  <si>
    <t>University of Cologne</t>
  </si>
  <si>
    <t>Garstecki, T (corresponding author), British Antarctic Survey, NERC, High Cross,Madingley Rd, Cambridge CB3 0ET, England.</t>
  </si>
  <si>
    <t>INTER-RESEARCH</t>
  </si>
  <si>
    <t>OLDENDORF LUHE</t>
  </si>
  <si>
    <t>NORDBUNTE 23, D-21385 OLDENDORF LUHE, GERMANY</t>
  </si>
  <si>
    <t>0948-3055</t>
  </si>
  <si>
    <t>AQUAT MICROB ECOL</t>
  </si>
  <si>
    <t>Aquat. Microb. Ecol.</t>
  </si>
  <si>
    <t>SEP 28</t>
  </si>
  <si>
    <t>10.3354/ame025281</t>
  </si>
  <si>
    <t>487BY</t>
  </si>
  <si>
    <t>WOS:000171854800008</t>
  </si>
  <si>
    <t>Montone, RC; Taniguchi, S; Sericano, J; Weber, RR; Lara, WH</t>
  </si>
  <si>
    <t>Determination of polychlorinated biphenyls in Antarctic macroalgae Desmarestia sp.</t>
  </si>
  <si>
    <t>SCIENCE OF THE TOTAL ENVIRONMENT</t>
  </si>
  <si>
    <t>polychlorinated biphenyls; Desmarestia sp.; macroalgae; Antarctica</t>
  </si>
  <si>
    <t>PCBS; PHYTOPLANKTON; PESTICIDES; CONGENERS; BIOTA</t>
  </si>
  <si>
    <t>Selected polychlorinated biphenyl (PCB) congeners were measured in Desmarestia sp., an abundant algae in the Antarctica Peninsula and South Shetlands. Samples were collected from various points of Admiralty Bay, King George Island, Antarctic Peninsula, during the 1993-1994 austral summer. Total PCB concentrations ranged from 0.46 to 3.86 ng g(-1) (dry weight). Predominant PCB congeners were 52, 101, 110, 138 and 153. The low levels of PCBs found on all samples and the predominance of low molecular weight congeners indicate that there are no significant local PCBs sources in the area of study. (C) 2001 Elsevier Science B.V. All rights reserved.</t>
  </si>
  <si>
    <t>Univ Sao Paulo, Inst Oceanog, BR-05508900 Sao Paulo, SP, Brazil; Texas A&amp;M Univ, Coll Geosci &amp; Maritime Studies, Geochem &amp; Environm Res Grp, College Stn, TX 77845 USA</t>
  </si>
  <si>
    <t>Universidade de Sao Paulo; Texas A&amp;M University System; Texas A&amp;M University College Station</t>
  </si>
  <si>
    <t>Montone, RC (corresponding author), Univ Sao Paulo, Inst Oceanog, BR-05508900 Sao Paulo, SP, Brazil.</t>
  </si>
  <si>
    <t>Montone, Rosalinda C/J-9110-2012; Taniguchi, Satie/D-2552-2013</t>
  </si>
  <si>
    <t>Taniguchi, Satie/0000-0002-6825-6390</t>
  </si>
  <si>
    <t>0048-9697</t>
  </si>
  <si>
    <t>SCI TOTAL ENVIRON</t>
  </si>
  <si>
    <t>Sci. Total Environ.</t>
  </si>
  <si>
    <t>10.1016/S0048-9697(00)00876-7</t>
  </si>
  <si>
    <t>Environmental Sciences</t>
  </si>
  <si>
    <t>Environmental Sciences &amp; Ecology</t>
  </si>
  <si>
    <t>476JF</t>
  </si>
  <si>
    <t>WOS:000171222000019</t>
  </si>
  <si>
    <t>Genthon, C; Krinner, G</t>
  </si>
  <si>
    <t>Antarctic surface mass balance and systematic biases in general circulation models</t>
  </si>
  <si>
    <t>CLIMATE; GREENLAND; SIMULATIONS</t>
  </si>
  <si>
    <t>Atmospheric general circulation models (GCMs) simulate two of the main components of the Antarctic surface mass balance (SMB), precipitation and sublimation, which are generally assumed to dominate the SMB. Resemblances between the Antarctic SMB simulated by seven different GCMs run at high (approximate to 100-200 km) resolution, and differences with a recently produced observation-based map are analyzed. A number of these differences are common to all seven models. They are called systematic model biases and are summarized as a composite of all seven models. It is found unlikely that higher model resolution would significantly affect the systematic biases. All but one of the models studied here use an inaccurate prescribed topography of Antarctica, with errors as large as 1000 m. Although wrong topography does not seem to consistently explain model SMB biases, it is strongly recommended that the Antarctic topography in GCMs be updated. Wind erosion and drifting snow are not simulated in GCMs. Because the processes of wind erosion are complex and nonlinear, evaluation of its possible contribution to systematic model biases is not straightforward. Partial correspondence between regions of strongest winds and model biases suggest that wind erosion may contribute and should be formulated in GCMs. Sublimation is another significant potential negative term in the SMB of Antarctica, but it does not seem to explain any systematic model bias. Finally, it is proposed that some of the systematic differences between models and observation-based maps actually signal errors in the latter rather than in the models. These errors occur in regions devoid of field observation. They may thus be related to the process of interpolation used to build the SMB maps.</t>
  </si>
  <si>
    <t>UJF, CNRS, Lab Glaciol &amp; Geophys Environm, F-38402 St Martin Dheres, France</t>
  </si>
  <si>
    <t>Communaute Universite Grenoble Alpes; Universite Grenoble Alpes (UGA); Centre National de la Recherche Scientifique (CNRS)</t>
  </si>
  <si>
    <t>UJF, CNRS, Lab Glaciol &amp; Geophys Environm, 54 Rue Moliere,BP 96, F-38402 St Martin Dheres, France.</t>
  </si>
  <si>
    <t>genthon@glaciog.ujf-grenoble.fr</t>
  </si>
  <si>
    <t>Krinner, Gerhard/A-6450-2011; Krinner, Gerhard/AAB-8837-2022</t>
  </si>
  <si>
    <t>Krinner, Gerhard/0000-0002-2959-5920</t>
  </si>
  <si>
    <t>SEP 27</t>
  </si>
  <si>
    <t>D18</t>
  </si>
  <si>
    <t>10.1029/2001JD900136</t>
  </si>
  <si>
    <t>476FV</t>
  </si>
  <si>
    <t>WOS:000171216300003</t>
  </si>
  <si>
    <t>Jarvis, MJ</t>
  </si>
  <si>
    <t>Atmospheric science - Bridging the atmospheric divide</t>
  </si>
  <si>
    <t>MESOSPHERE; THERMOSPHERE; MESOPAUSE</t>
  </si>
  <si>
    <t>Jarvis, MJ (corresponding author), British Antarctic Survey, Cambridge CB3 0ET, England.</t>
  </si>
  <si>
    <t>SEP 21</t>
  </si>
  <si>
    <t>10.1126/science.1064467</t>
  </si>
  <si>
    <t>475AL</t>
  </si>
  <si>
    <t>WOS:000171139400032</t>
  </si>
  <si>
    <t>Environment - Australia to harness Antarctic wind energy</t>
  </si>
  <si>
    <t>CHEMISTRY &amp; INDUSTRY</t>
  </si>
  <si>
    <t>WILEY PERIODICALS, INC</t>
  </si>
  <si>
    <t>SAN FRANCISCO</t>
  </si>
  <si>
    <t>ONE MONTGOMERY ST, SUITE 1200, SAN FRANCISCO, CA 94104 USA</t>
  </si>
  <si>
    <t>0009-3068</t>
  </si>
  <si>
    <t>2047-6329</t>
  </si>
  <si>
    <t>CHEM IND-LONDON</t>
  </si>
  <si>
    <t>Chem. Ind.</t>
  </si>
  <si>
    <t>SEP 17</t>
  </si>
  <si>
    <t>Chemistry, Applied</t>
  </si>
  <si>
    <t>474JZ</t>
  </si>
  <si>
    <t>WOS:000171104500010</t>
  </si>
  <si>
    <t>Rind, D; Chandler, M; Lerner, J; Martinson, DG; Yuan, X</t>
  </si>
  <si>
    <t>Climate response to basin-specific changes in latitudinal temperature gradients and implications for sea ice variability</t>
  </si>
  <si>
    <t>NORTH-ATLANTIC OSCILLATION; SURFACE-TEMPERATURE; GEOPOTENTIAL HEIGHT; ARCTIC OSCILLATION; CIRCULATION; TRENDS; MODEL; SIGNAL</t>
  </si>
  <si>
    <t>We use experiments with the GISS general circulation model to investigate how changes in latitudinal temperature gradients affect atmospheric circulation in different ocean basins, with particular attention paid to the implications for high-latitude sea ice. The results are relevant to both estimated past climate changes, current climate gradient changes (e.g., El Nino-Southern Oscillation events), and proposed future climate responses to greenhouse gases. Sea surface temperature gradients are increased/decreased in all ocean basins, and in the Pacific and Atlantic separately, without changing sea ice or global average temperature. Additional experiments prescribe sea ice growth/reduction with global cooling/warming. As expected, increased gradients strengthen the subtropical jet stream and deepen the subpolar lows in each hemisphere, but results in the Northern and Southern Hemispheres differ in fundamental ways. In the Northern Hemisphere, increased storm intensities occur in the ocean basin with the increased gradient; in the Southern Hemisphere the deeper storms occur in the ocean basin with the decreased gradient. Alterations of the gradient in one ocean basin change longitudinal temperature gradients; an increased gradient in one basin from tropical heating results in subsidence in the tropics in the other basin, mimicking the effect of a decreased gradient in that basin. The subtropical jet is therefore strengthened over the basin with the increased gradient and decreased over the other ocean basin. Hence in many respects, regional effects, such as the strength of subpolar lows in an individual basin, are amplified when the gradient changes are of opposite sign in the two ocean basins. The Southern Hemisphere response occurs because gradient increases in one ocean basin, by strengthening the subtropical jet, shift storm tracks equatorward and away from the potential energy source associated with cold air advection from Antarctica. At the same time, with a weaker subtropical jet in the other basin, storms move poleward and strengthen. This latter effect may explain observed sea ice variations that are out of phase in the Atlantic and Pacific Ocean basins in the Southern Hemisphere (referred to as the Antarctic dipole) as well as upper ocean variability in the Weddell gyre. Gradient changes produce little effect on sea level pressure in the Arctic, unless sea ice is changed. With Arctic sea ice reductions, the sea ice response acts as a positive feedback, inducing cyclonic circulation changes that would enhance its removal, as may be occurring due to the current high phase of the North Atlantic Oscillation.</t>
  </si>
  <si>
    <t>NASA, Goddard Inst Space Studies, New York, NY 10025 USA; Columbia Univ, Lamont Doherty Earth Observ, Palisades, NY 10964 USA</t>
  </si>
  <si>
    <t>NASA, Goddard Inst Space Studies, 2880 Broadway, New York, NY 10025 USA.</t>
  </si>
  <si>
    <t>Yuan, Xiaojun/AAI-7770-2020</t>
  </si>
  <si>
    <t>Chandler, Mark/0000-0002-6548-227X; Yuan, Xiaojun/0000-0002-6530-1619</t>
  </si>
  <si>
    <t>SEP 16</t>
  </si>
  <si>
    <t>D17</t>
  </si>
  <si>
    <t>10.1029/2000JD900643</t>
  </si>
  <si>
    <t>473KZ</t>
  </si>
  <si>
    <t>WOS:000171044200013</t>
  </si>
  <si>
    <t>Bräunlich, M; Aballanin, O; Marik, T; Jöckel, P; Brenninkmeijer, CAM; Chappellaz, J; Barnola, JM; Mulvaney, R; Sturges, WT</t>
  </si>
  <si>
    <t>Changes in the global atmospheric methane budget over the last decades inferred from 13C and D isotopic analysis of Antarctic firn air</t>
  </si>
  <si>
    <t>NEW-ZEALAND; POLAR FIRN; ICE; GAS; CARBON; CH4; CO; SIGNATURE; EMISSIONS</t>
  </si>
  <si>
    <t>The atmospheric trend of methane isotopic ratios since the mid-20th century has been reconstructed from Antarctic firn air. High volume air samples were extracted at several depth levels at two sites in East Antarctica. Methane concentration and its C-13/C-12 and D/H ratios were determined by gas chromatography, mass spectrometry, and infrared spectroscopy. A firn air transport model was applied to reconstruct past atmospheric trends in methane and its isotopic composition. By subsequent application of an atmospheric model, changes in methane sources and OH sink compatible with the past atmospheric trends are explored. In step with increasing methane mixing ratios, delta C-13 increased by similar to1.7%(omicron) over the last 50 years. These changes mainly reflect a shift in relative source strength toward the heavier anthropogenic methane source, such as biomass burning and methane of nonbiological origin. The deltaD (CH4) showed a period of decline between the 1950s and 1975, followed by a gradual increase of 0.55%(omicron)/yr, also toward the heavier anthropogenic source. Dependent on possible changes in the OH sink, to which deltaD of methane is very sensitive, the inferred isotopic trends of delta C-13 and deltaD over the last 50 years constrain the relationship between natural and anthropogenic sources over the last century. The observed deltaD minimum around 1975 suggests that the slowing down in the methane source growth took place during this period.</t>
  </si>
  <si>
    <t>Max Planck Inst Chem, Air Chem Div, D-55020 Mainz, Germany; Lab Glaciol &amp; Geophys Environm, Grenoble, France; British Antarctic Survey, Ice &amp; Climate Div, Cambridge CB3 0ET, England; Univ E Anglia, Sch Environm Sci, Norwich NR4 7TJ, Norfolk, England</t>
  </si>
  <si>
    <t>Max Planck Society; Communaute Universite Grenoble Alpes; Universite Grenoble Alpes (UGA); UK Research &amp; Innovation (UKRI); Natural Environment Research Council (NERC); NERC British Antarctic Survey; University of East Anglia</t>
  </si>
  <si>
    <t>maya@mpch-mainz.mpg.de; aballain@glaciog.ujf-grenoble.fr; marik@mpch-mainz.mpg.de; joeckel@mpch-mainz.mpg.de; carlb@mpch-mainz.mpg.de; jerome@glaciog.ujf-grenoble.fr; barnola@glaciog.ujf-grenoble.fr; R.Mulvaney@bas.ac.uk; w.sturges@uea.ac.uk</t>
  </si>
  <si>
    <t>Chappellaz, Jérôme A./A-4872-2011; Brenninkmeijer, Carl/B-6860-2013; Jöckel, Patrick/C-3687-2009; Mulvaney, Robert/K-3929-2012</t>
  </si>
  <si>
    <t>Jöckel, Patrick/0000-0002-8964-1394; Mulvaney, Robert/0000-0002-5372-8148</t>
  </si>
  <si>
    <t>10.1029/2001JD900190</t>
  </si>
  <si>
    <t>WOS:000171044200033</t>
  </si>
  <si>
    <t>Ramana, MV; Ramprasad, T; Desa, M</t>
  </si>
  <si>
    <t>Seafloor spreading magnetic anomalies in the Enderby Basin, East Antarctica</t>
  </si>
  <si>
    <t>East Antarctica; magnetic anomalies; Mesozoic; plate tectonics reconstruction</t>
  </si>
  <si>
    <t>INDIAN-OCEAN; SATELLITE ALTIMETRY; NORTH-ATLANTIC; GONDWANALAND; EVOLUTION; HISTORY; BREAKUP; BENGAL; BAY; AUSTRALIA</t>
  </si>
  <si>
    <t>The timing of the early separation of India from the contiguous Antarctica-Australia is still an unresolved problem although it is well established that Antarctica and India formed a single Indo-Antarctic platform prior to the fragmentation of eastern Gondwanaland. Inadequate age information either in the form of magnetic anomaly isochrons or dating of oceanic rocks from the conjugate margins of Antarctica and India perhaps led several authors to propose incomplete plate reconstruction models particularly for the early separation of India from Antarctica. Analysis of magnetic and satellite-derived gravity data in the Enderby Basin, East Antarctica, reveals the presence of seafloor spreading type linear magnetic anomalies and eight new fracture zones. The observed magnetic anomalies can be interpreted as the younger sequence of Mesozoic anomalies M11-M0. Half-spreading rates range from 6.5 to 2.8 cm/yr and are comparable with those measured in the Bay of Bengal. These similarities in the Mesozoic magnetic anomaly sequence and in the spreading rates provide evidence that these two basins are conjugate and contemporary. A consistent plate reconstruction model can be derived from the identified conjugate patterns of Mesozoic magnetic anomalies and fracture zones. The occurrence of the oldest magnetic anomaly M11 close to the coasts in these two offshore basins unequivocally suggests that the break-up of India from Antarctica occurred before similar to 134 Ma. (C) 2001 Elsevier Science B.V, All rights reserved.</t>
  </si>
  <si>
    <t>Natl Inst Oceanog, Panaji 403004, Goa, India</t>
  </si>
  <si>
    <t>Ramana, MV (corresponding author), Natl Inst Oceanog, Panaji 403004, Goa, India.</t>
  </si>
  <si>
    <t>ramana@darya.nio.org</t>
  </si>
  <si>
    <t>Tammisetti, Ramprasad/B-2716-2010</t>
  </si>
  <si>
    <t>SEP 15</t>
  </si>
  <si>
    <t>10.1016/S0012-821X(01)00413-7</t>
  </si>
  <si>
    <t>479AV</t>
  </si>
  <si>
    <t>WOS:000171382500007</t>
  </si>
  <si>
    <t>Studinger, M; Bell, RE; Blankenship, DD; Finn, CA; Arko, RA; Morse, DL; Joughin, I</t>
  </si>
  <si>
    <t>Subglacial sediments: A regional geological template for ice flow in West Antarctica</t>
  </si>
  <si>
    <t>STREAM; SHEET; BENEATH</t>
  </si>
  <si>
    <t>We use aerogeophysical data to estimate the distribution of marine subglacial sediments and fault-bounded sedimentary basins beneath the West Antarctic Ice Sheet (WAIS). We find that significant ice flow occurs exclusively in regions covered by subglacial sediments. The onsets and lateral margins of ice streams coincide with the limit of marine sediments. Lateral margins are also consistently linked with fault-bounded basins. We predict that the inland migration of ice streams B and C-1 towards the ice divide outside the region covered by marine or rift sediments is unlikely. The subglacial geology has the potential to modulate the dynamic evolution of the ice streams and the WAIS.</t>
  </si>
  <si>
    <t>Columbia Univ, Lamont Doherty Earth Observ, Palisades, NY 10964 USA; Univ Texas, Inst Geophys, Austin, TX 78759 USA; US Geol Survey, Denver Fed Ctr, Lakewood, CO 80225 USA; CALTECH, Jet Prop Lab, Pasadena, CA 91109 USA</t>
  </si>
  <si>
    <t>Columbia University; University of Texas System; University of Texas Austin; United States Department of the Interior; United States Geological Survey; National Aeronautics &amp; Space Administration (NASA); NASA Jet Propulsion Laboratory (JPL); California Institute of Technology</t>
  </si>
  <si>
    <t>Columbia Univ, Lamont Doherty Earth Observ, POB 1000, Palisades, NY 10964 USA.</t>
  </si>
  <si>
    <t>mstuding@ldeo.columbia.edu</t>
  </si>
  <si>
    <t>Joughin, Ian/AAR-7778-2021; Blankenship, Donald D./G-5935-2010; Joughin, Ian R/A-2998-2008; Finn, Carol A/HKN-9277-2023</t>
  </si>
  <si>
    <t>Joughin, Ian/0000-0001-6229-679X; Joughin, Ian R/0000-0001-6229-679X; Finn, Carol A/0000-0002-6178-0405; Studinger, Michael/0000-0003-1265-4741</t>
  </si>
  <si>
    <t>10.1029/2000GL011788</t>
  </si>
  <si>
    <t>473HN</t>
  </si>
  <si>
    <t>WOS:000171035000019</t>
  </si>
  <si>
    <t>Yuan, XJ; Martinson, DG</t>
  </si>
  <si>
    <t>The Antarctic Dipole and its predictability</t>
  </si>
  <si>
    <t>NINO-SOUTHERN OSCILLATION; SEA-ICE EXTENT; CIRCUMPOLAR WAVE; VARIABILITY; TELECONNECTIONS; CLIMATE; LINKING</t>
  </si>
  <si>
    <t>This study investigates the nature of interannual variability of Antarctic sea ice and its relationship with the tropical climate. We find that the dominant interannual variance structure in the sea ice edge and surface air temperature fields is organized as a quasi-stationary wave which we call the Antarctic Dipole (ADP). It is characterized by an out-of-phase relationship between the ice and temperature anomalies in the central/eastern Pacific and Atlantic sectors of the Antarctic. The dipole consists of a strong standing mode and a weaker propagating motion within each basin's ice field. It has the same wavelength as the Antarctic Circumpolar Wave (ACW) and dominates the ACW variance. The dipole is clearly associated with tropical ENSO events; it can be predicted with moderate skill using linear regression involving surface temperature two to four months ahead. The prediction performs better in extreme warm/cold years, and best in La Nina years.</t>
  </si>
  <si>
    <t>Yuan, XJ (corresponding author), Columbia Univ, Lamont Doherty Geol Observ, Palisades, NY 10964 USA.</t>
  </si>
  <si>
    <t>Yuan, Xiaojun/0000-0002-6530-1619</t>
  </si>
  <si>
    <t>10.1029/2001GL012969</t>
  </si>
  <si>
    <t>WOS:000171035000048</t>
  </si>
  <si>
    <t>Jacobs, GA; Barron, CN; Rhodes, RC</t>
  </si>
  <si>
    <t>Mesoscale characteristics</t>
  </si>
  <si>
    <t>TOPEX/POSEIDON ALTIMETER DATA; LOCAL DYNAMICS EXPERIMENT; GEOSAT ALTIMETRY; NORTH-ATLANTIC; TIME SCALES; KUROSHIO EXTENSION; OBJECTIVE ANALYSIS; SEASAT ALTIMETER; PACIFIC-OCEAN; ROSSBY WAVES</t>
  </si>
  <si>
    <t>The spatial length, time, and propagation characteristics of the ocean mesoscale variability are examined throughout the globe. Sea surface height (SSH) variations from a combination of the Geosat Exact Repeat Mission, ERS-1, ERS-2, and TOPEX/Poseidon altimeter satellites are used to compute the observed covariance of the mesoscale. The mesoscale is defined as the residual SSH after removing a filtered large-scale SSH having length scales greater than 750 km zonally and 250 kin meridionally. From the observed binned covariance function, an objective analysis computes characteristics of the climatological mesoscale variability. Westward propagation is dominant throughout the globe. The Antarctic Circumpolar Current appears to affect the zonal propagation, as the propagation direction is eastward throughout this current. Length scales and propagation speeds generally decrease away from the equator and are slightly larger in the west basin areas than in the east basin areas. Zonal propagation speeds are roughly in agreement with speeds based on linear quasi-geostrophic dynamics. The eddy field diverges from the equator and converges at 15 degrees in the Northern and Southern Hemispheres. Requirements for synoptic mesoscale observation are examined.</t>
  </si>
  <si>
    <t>USN, Res Lab, Stennis Space Ctr, MS 39529 USA</t>
  </si>
  <si>
    <t>United States Department of Defense; United States Navy; Naval Research Laboratory</t>
  </si>
  <si>
    <t>USN, Res Lab, Code 7323, Stennis Space Ctr, MS 39529 USA.</t>
  </si>
  <si>
    <t>jacobs@nrlssc.navy.mil; barron@nrlssc.navy.mil; rhodes@nrlssc.navy.mil</t>
  </si>
  <si>
    <t>Barron, Charlie N/C-1451-2008; Jacobs, Gregg A/C-1456-2008</t>
  </si>
  <si>
    <t>Barron, Charlie/0009-0003-8109-7288</t>
  </si>
  <si>
    <t>C9</t>
  </si>
  <si>
    <t>10.1029/2000JC000669</t>
  </si>
  <si>
    <t>471YT</t>
  </si>
  <si>
    <t>WOS:000170956800006</t>
  </si>
  <si>
    <t>Donohue, KA; Firing, E; Chen, SM</t>
  </si>
  <si>
    <t>Absolute geostrophic velocity within the Subantarctic front in the Pacific Ocean</t>
  </si>
  <si>
    <t>CIRCUMPOLAR CURRENT; SOUTHERN-OCEAN; TRANSPORT; CURRENTS; EXTENT; MODE; ADCP</t>
  </si>
  <si>
    <t>Velocity measurements from a shipboard acoustic Doppler current profiler (ADCP) are used as a reference for geostrophic current calculations on six sections across the Subantarctic Front (SAF) in the Pacific Ocean. The resulting cross-track velocity estimates near the bottom range from 4 to 10 cm s(-1) to the east in the eastward jet at the SAF: in adjacent regions of westward surface flow, the near-bottom velocity is usually to the west. On one section where simultaneous lowered ADCP velocity profiles are available, they confirm the results from the shipboard ADCP. Annual mean velocity sections from the Parallel Ocean Program I numerical model also show near-bottom velocities exceeding 5 cm s(-1), with the same tendency for the zonal velocity component near the bottom to match the direction of the surface jets. Transport across the entire Antarctic Circumpolar Current (ACC) cannot be estimated accurately from ADCP-referenced geostrophic sections because even a very small cross-track bias integrates to a large error. A preliminary look at the 1992 model transport stream function shows that the effect of bottom-referencing varies from section to section; it can cause 40-Sv recirculations to be missed, and can cause net transport to be underestimated or overestimated by O (30 Sv).</t>
  </si>
  <si>
    <t>Univ Rhode Isl, Grad Sch Oceanog, Narragansett, RI 02882 USA; Univ Hawaii, Dept Oceanog, Honolulu, HI 96822 USA</t>
  </si>
  <si>
    <t>University of Rhode Island; University of Hawaii System</t>
  </si>
  <si>
    <t>Univ Rhode Isl, Grad Sch Oceanog, 215 S Ferry Rd, Narragansett, RI 02882 USA.</t>
  </si>
  <si>
    <t>kdonohue@gso.uri.edu; efiring@soest.hawaii.edu; schen@soest.hawaii.edu</t>
  </si>
  <si>
    <t>Firing, Eric/0000-0002-7745-6888</t>
  </si>
  <si>
    <t>10.1029/2000JC000293</t>
  </si>
  <si>
    <t>WOS:000170956800023</t>
  </si>
  <si>
    <t>Gladstone, RM; Bigg, GR; Nicholls, KW</t>
  </si>
  <si>
    <t>Iceberg trajectory modeling and meltwater injection in the Southern Ocean</t>
  </si>
  <si>
    <t>MASS-BALANCE; ICE SHELF; DRIFT; GLACIER; FLUX; SEA</t>
  </si>
  <si>
    <t>This is the first large-scale modeling study of iceberg trajectories and melt rates in the Southern Ocean. An iceberg model was seeded with climatological iceberg calving rates based on a calculation of the net surface accumulation from each snow catchment area on the Antarctic continent. In most areas, modeled trajectories show good agreement with observed patterns of iceberg motion, though discrepencies in the Weddell Sea have highlighted problems in the ocean general circulation model output used to force the iceberg model. The Coriolis force is found to be important in keeping bergs entrained in the coastal current around Antarctica, and topographic features are important in causing bergs to depart from the coastal regions. The modeled geographic distribution of iceberg meltwater joining the ocean has been calculated and is found in many near-coastal regions to be comparable in magnitude to the excess of precipitation over evaporation (P-E).</t>
  </si>
  <si>
    <t>Univ E Anglia, Sch Environm Sci, Norwich NR4 7TJ, Norfolk, England; British Antarctic Survey, Cambridge CB3 0ET, England</t>
  </si>
  <si>
    <t>University of East Anglia; UK Research &amp; Innovation (UKRI); Natural Environment Research Council (NERC); NERC British Antarctic Survey</t>
  </si>
  <si>
    <t>Univ E Anglia, Sch Environm Sci, Norwich NR4 7TJ, Norfolk, England.</t>
  </si>
  <si>
    <t>N, Keith/E-9126-2010; Bigg, Grant/GXW-2219-2022; Gladstone, Rupert/C-1086-2013</t>
  </si>
  <si>
    <t>Gladstone, Rupert/0000-0002-1582-3857</t>
  </si>
  <si>
    <t>10.1029/2000JC000347</t>
  </si>
  <si>
    <t>WOS:000170956800025</t>
  </si>
  <si>
    <t>Harris, PT; Brancolini, G; Armand, L; Busetti, M; Beaman, RJ; Giorgetti, G; Presti, M; Trincardi, F</t>
  </si>
  <si>
    <t>Continental shelf drift deposit indicates non-steady state Antarctic bottom water production in the Holocene</t>
  </si>
  <si>
    <t>MARINE GEOLOGY</t>
  </si>
  <si>
    <t>Letter</t>
  </si>
  <si>
    <t>Antarctica; continental shelf; sediment drift; ripple cross-lamination; bottom water; ocean circulation</t>
  </si>
  <si>
    <t>ROSS SEA; RADIOCARBON; ICE; SEDIMENTS; FACIES; DEEP</t>
  </si>
  <si>
    <t>A late Quaternary, cuffent-lain sediment drift deposit over 30 m in thickness has been discovered on the continental shelf of East Antarctica in an 850 m deep glacial trough off George Vth Land. Radiocarbon dating indicates that a period of rapid deposition on the drift (averaging 290 cm/kyr) occurred in the mid-Holocene, between about 3000 and 5000 yr before present (yr BP). Slower deposition rates of around 10 cm/kyr, during the past 0-3000 yr and from 5000 to about 13000 yr BP, coincides with the deposition of bioturbated, ice-rafted debris (IRD) rich, sandy mud under an energetic bottom current regime. In contrast, the mid-Holocene (3000-5000 yr BP) sediments are fine-grained, laminated to cross-laminated with minimal IRD content, and are contemporaneous with a period of warmer marine conditions with less sea ice production. This pattern suggests that bottom currents were weaker than present day in the mid-Holocene, and that the rate of dense bottom water production was reduced at that time. This scenario is consistent with the hypothesis of non-steady state rates of Antarctic bottom water production through the Holocene as recently proposed by Broecker and his colleagues. (C) 2001 Elsevier Science B.V. All rights reserved.</t>
  </si>
  <si>
    <t>Univ Tasmania, Antarctic CRC, Hobart, Tas 7001, Australia; Univ Tasmania, Australian Geol Survey Org, Hobart, Tas 7001, Australia; Natl Inst Oceanog &amp; Expt Geophys OGS, I-34016 Trieste, Italy; IASOS, Hobart, Tas 7001, Australia; Univ Siena, Dept Earth Sci, I-53100 Siena, Italy; Univ Trieste, Dept Geol Environm &amp; Marine Sci, I-34127 Trieste, Italy; CNR, Inst Marine Geol, I-40129 Bologna, Italy</t>
  </si>
  <si>
    <t>University of Tasmania; Geoscience Australia; University of Tasmania; Istituto Nazionale di Oceanografia e di Geofisica Sperimentale; University of Siena; University of Trieste; Consiglio Nazionale delle Ricerche (CNR)</t>
  </si>
  <si>
    <t>Univ Tasmania, Antarctic CRC, GPO Box 252-80, Hobart, Tas 7001, Australia.</t>
  </si>
  <si>
    <t>p.harris@utas.edu.au</t>
  </si>
  <si>
    <t>Harris, Peter/AAI-7100-2020; Busetti, Martina/L-5185-2014; Harris, Peter T/C-6997-2009; Armand, Leanne K/C-9004-2009</t>
  </si>
  <si>
    <t>Busetti, Martina/0000-0001-7039-3282; Armand, Leanne/0000-0003-3995-308X; Trincardi, Fabio/0000-0002-8476-8804; Giorgetti, Giovanna/0000-0001-6233-4485; Trincardi, Fabio/0009-0003-7078-1631</t>
  </si>
  <si>
    <t>0025-3227</t>
  </si>
  <si>
    <t>1872-6151</t>
  </si>
  <si>
    <t>MAR GEOL</t>
  </si>
  <si>
    <t>Mar. Geol.</t>
  </si>
  <si>
    <t>10.1016/S0025-3227(01)00183-9</t>
  </si>
  <si>
    <t>Geosciences, Multidisciplinary; Oceanography</t>
  </si>
  <si>
    <t>Geology; Oceanography</t>
  </si>
  <si>
    <t>474MV</t>
  </si>
  <si>
    <t>WOS:000171111800001</t>
  </si>
  <si>
    <t>Stenni, B; Masson-Delmotte, V; Johnsen, S; Jouzel, J; Longinelli, A; Monnin, E; Röthlisberger, R; Selmo, E</t>
  </si>
  <si>
    <t>An oceanic cold reversal during the last deglaciation</t>
  </si>
  <si>
    <t>ICE CORE; DEUTERIUM EXCESS; ANTARCTIC ICE; CLIMATE; PRECIPITATION; TRANSITION; SURFACE; RECORD</t>
  </si>
  <si>
    <t>A detailed deuterium excess profile measured along the Dome C EPICA (European Project for ice Coring in Antarctica) core reveals the timing and strength of the sea surface temperature changes at the source regions for Dome C precipitation. We infer that an Oceanic Cold Reversal took place in the southern Indian Ocean, 800 years after the Antarctic Cold Reversal. The temperature gradient between the oceanic moisture source and Antarctica is similar to the Dome C sodium profile during the deglaciation, illustrating the strong link between this gradient and the strength of the atmospheric circulation.</t>
  </si>
  <si>
    <t>Univ Trieste, Dept Geol Environm &amp; Marine Sci, Trieste, Italy; Inst Pierre Simon Laplace, CEA, CNRS 1572, Lab Sci Climat &amp; Environm, F-91191 Gif Sur Yvette, France; Univ Copenhagen, Dept Geophys, Niels Bohr Inst, Copenhagen, Denmark; Univ Parma, Dept Earth Sci, Parma, Italy; Univ Bern, Inst Phys, Bern, Switzerland</t>
  </si>
  <si>
    <t>University of Trieste; Universite Paris Saclay; CEA; Centre National de la Recherche Scientifique (CNRS); Universite Paris Cite; University of Copenhagen; Niels Bohr Institute; University of Parma; University of Bern</t>
  </si>
  <si>
    <t>Stenni, B (corresponding author), Univ Trieste, Dept Geol Environm &amp; Marine Sci, Trieste, Italy.</t>
  </si>
  <si>
    <t>Masson-Delmotte, Valerie L/G-1995-2011</t>
  </si>
  <si>
    <t>Masson-Delmotte, Valerie L/0000-0001-8296-381X; Stenni, Barbara/0000-0003-4950-3664</t>
  </si>
  <si>
    <t>SEP 14</t>
  </si>
  <si>
    <t>10.1126/science.1059702</t>
  </si>
  <si>
    <t>473FB</t>
  </si>
  <si>
    <t>WOS:000171028700070</t>
  </si>
  <si>
    <t>Sachs, JP; Anderson, RF; Lehman, SJ</t>
  </si>
  <si>
    <t>Glacial surface temperatures of the southeast Atlantic Ocean</t>
  </si>
  <si>
    <t>NORTH-ATLANTIC; DEUTERIUM EXCESS; GEOMAGNETIC PALEOINTENSITY; ANTARCTIC PRECIPITATION; INTERGLACIAL CHANGES; CLIMATE-CHANGE; ICE AGES; LAST; SECTOR; ORIGIN</t>
  </si>
  <si>
    <t>A detailed record of sea surface temperature from sediments of the Cape Basin in the subtropical South Atlantic indicates a previously undocumented progression of marine climate change between 41 and 18 thousand years before the present (ky B.P.), during the last glacial period. Whereas marine records typically indicate a tong-term cooling into the Last Glacial Maximum (around 21 ky B.P.) consistent with gradually increasing global ice volume, the Cape Basin record documents an interval of substantial temperate ocean warming from 41 to 25 ky B.P. The pattern is similar to that expected in response to changes in insolation owing to variations in Earth's tilt.</t>
  </si>
  <si>
    <t>MIT, Dept Earth Atmospher &amp; Planetary Sci, Cambridge, MA 02139 USA; Columbia Univ, Lamont Doherty Earth Observ, Palisades, NY 10964 USA; Univ Colorado, Inst Arctic &amp; Alpine Res, Boulder, CO 80309 USA</t>
  </si>
  <si>
    <t>Massachusetts Institute of Technology (MIT); Columbia University; University of Colorado System; University of Colorado Boulder</t>
  </si>
  <si>
    <t>Sachs, JP (corresponding author), MIT, Dept Earth Atmospher &amp; Planetary Sci, 77 Massachusetts Ave,Room E34-254, Cambridge, MA 02139 USA.</t>
  </si>
  <si>
    <t>Anderson, Robert/0000-0002-8472-2494</t>
  </si>
  <si>
    <t>10.1126/science.1063584</t>
  </si>
  <si>
    <t>WOS:000171028700071</t>
  </si>
  <si>
    <t>Asgeirsson, B; Andrésson, OS</t>
  </si>
  <si>
    <t>Primary structure of cold-adapted alkaline phosphatase from a Vibrio sp as deduced from the nucleotide gene sequence</t>
  </si>
  <si>
    <t>BIOCHIMICA ET BIOPHYSICA ACTA-PROTEIN STRUCTURE AND MOLECULAR ENZYMOLOGY</t>
  </si>
  <si>
    <t>cold adaptation; psychrophilic; alkaline phosphatase; marine bacterium; primary structure</t>
  </si>
  <si>
    <t>ACTIVE CITRATE SYNTHASE; ESCHERICHIA-COLI; CONFORMATIONAL FLEXIBILITY; PSYCHROPHILIC ENZYMES; ANTARCTIC BACTERIUM; PROTEIN STABILITY; ADAPTATION; DEHYDROGENASE; MECHANISM; TRANSFORMATION</t>
  </si>
  <si>
    <t>Alkaline phosphatases (AP) are widely distributed in nature, and generally have a dimeric structure, However, there are indications that either monomeric or multimeric bacterial forms may exist. This paper describes the gene sequence of a psychrophilic marine Vibrio AP, previously shown to be particularly heat labile. The kinetic properties were also indicative of cold adaptation. The amino acid sequence of the Vibrio G15-21 AP reveals that the residues involved in the catalytic mechanism, including those ligating the metal ions, have precedence in other characterized APs. Compared with Escherichia coli AP, the two zinc binding sites are identical, whereas the metal binding site, normally occupied by magnesium, is not. Asp153 and Lys-328 of E coli AP are His- 153 and Trp-328 in Vibrio AP. Two additional stretches of amino acids not present in E coli AP are found inserted close to the active site of the Vibrio AP. The smaller insert could be accommodated within a dimeric structure, assuming a tertiary structure similar to E coli AP. In contrast the longer insert would most likely protrude into the interface area, thus preventing dimer formation. This is the first primary structure of a putative monomeric AP, with indications as to the basis for a monomeric existence. Proximity of the large insert loop to the active site may indicate a surrogate role for the second monomer, and may also shape the catalytic as well as stability characteristics of this enzyme. (C) 2001 Elsevier Science B.V. All rights reserved.</t>
  </si>
  <si>
    <t>Univ Iceland, Inst Sci, Dept Chem, IS-107 Reykjavik, Iceland; Univ Iceland, Inst Expt Pathol, Reykjavik, Iceland</t>
  </si>
  <si>
    <t>University of Iceland; University of Iceland</t>
  </si>
  <si>
    <t>Univ Iceland, Inst Sci, Dept Chem, Dunhaga 3, IS-107 Reykjavik, Iceland.</t>
  </si>
  <si>
    <t>bjarni@raunvis.hi.is</t>
  </si>
  <si>
    <t>Asgeirsson, Bjarni/E-3747-2015</t>
  </si>
  <si>
    <t>Asgeirsson, Bjarni/0000-0002-4275-2732</t>
  </si>
  <si>
    <t>0167-4838</t>
  </si>
  <si>
    <t>BBA-PROTEIN STRUCT M</t>
  </si>
  <si>
    <t>Biochim. Biophys. Acta-Protein Struct. Molec. Enzym.</t>
  </si>
  <si>
    <t>SEP 10</t>
  </si>
  <si>
    <t>10.1016/S0167-4838(01)00247-3</t>
  </si>
  <si>
    <t>474QH</t>
  </si>
  <si>
    <t>WOS:000171118000010</t>
  </si>
  <si>
    <t>Norman, MD; Finn, J; Tregenza, T</t>
  </si>
  <si>
    <t>Dynamic mimicry in an Indo-Malayan octopus</t>
  </si>
  <si>
    <t>mimic octopus; dynamic mimicry; cephalopod; crypsis; mimicry; polymorphism; predator defence</t>
  </si>
  <si>
    <t>DIVERSITY</t>
  </si>
  <si>
    <t>During research dives in Indonesia (Sulawesi and Bali), we filmed a distinctive long-armed octopus, which is new to science. Diving over 24h periods revealed that the 'mimic octopus' emerges during daylight hours to forage on sand substrates in full view of pelagic fish predators. We observed nine individuals of this species displaying a repertoire of postures and body patterns, several of which are clearly impersonations of venomous animals co-occurring in this habitat. This 'dynamic mimicry' avoids the genetic constraints that may limit the diversity of genetically polymorphic mimics but has the same effect of decreasing the frequency with which predators encounter particular mimics. Additionally, our observations suggest that the octopus makes decisions about the most appropriate form of mimicry to use, allowing it to enhance further the benefits of mimicking toxic models by employing mimicry according to the nature of perceived threats.</t>
  </si>
  <si>
    <t>Museum Victoria, Melbourne, Vic 3001, Australia; Univ Melbourne, Dept Zool, Parkville, Vic 3010, Australia; Univ Tasmania, Inst Antarctic &amp; So Ocean Studies, Hobart, Tas 7000, Australia; Univ Leeds, Sch Biol, Ctr Biodivers &amp; Conservat, Leeds LS2 9JT, W Yorkshire, England</t>
  </si>
  <si>
    <t>Museum Victoria; University of Melbourne; University of Tasmania; University of Leeds</t>
  </si>
  <si>
    <t>Norman, MD (corresponding author), Museum Victoria, GPO Box 666E, Melbourne, Vic 3001, Australia.</t>
  </si>
  <si>
    <t>mnorman@unimelb.edu.au</t>
  </si>
  <si>
    <t>Tregenza, Tom/B-1078-2014</t>
  </si>
  <si>
    <t>Tregenza, Tom/0000-0003-4182-2222</t>
  </si>
  <si>
    <t>SEP 7</t>
  </si>
  <si>
    <t>10.1098/rspb.2001.1708</t>
  </si>
  <si>
    <t>469UN</t>
  </si>
  <si>
    <t>Green Accepted, Green Published, Green Submitted</t>
  </si>
  <si>
    <t>WOS:000170834600001</t>
  </si>
  <si>
    <t>Vaughan, DG; Marshall, GJ; Connolley, WM; King, JC; Mulvaney, R</t>
  </si>
  <si>
    <t>Climate change - Devil in the detail</t>
  </si>
  <si>
    <t>SEA-ICE-EXTENT; ANTARCTIC PENINSULA; TEMPERATURE; INCREASES; SHELF; OCEAN</t>
  </si>
  <si>
    <t>British Antarctic Survey, NERC, Madingley Rd, Cambridge CB3 0ET, England.</t>
  </si>
  <si>
    <t>d.vaughan@bas.ac.uk</t>
  </si>
  <si>
    <t>Vaughan, David/C-8348-2011; Mulvaney, Robert/K-3929-2012</t>
  </si>
  <si>
    <t>Mulvaney, Robert/0000-0002-5372-8148; Vaughan, David/0000-0002-9065-0570</t>
  </si>
  <si>
    <t>1095-9203</t>
  </si>
  <si>
    <t>10.1126/science.1065116</t>
  </si>
  <si>
    <t>470WN</t>
  </si>
  <si>
    <t>WOS:000170894400031</t>
  </si>
  <si>
    <t>Anderson, MR; Rivkin, RB</t>
  </si>
  <si>
    <t>Seasonal patterns in grazing mortality of bacterioplankton in polar oceans: a bipolar comparison</t>
  </si>
  <si>
    <t>Arctic; Antarctic; bacterioplankton; grazing mortality; microbial food web; microzooplankton; polar oceans; protozoa; nutrient limitation</t>
  </si>
  <si>
    <t>MICROFLAGELLATE FOOD-CHAIN; ICE-EDGE ZONE; BACTERIAL PRODUCTION; WEDDELL SEA; GROWTH-RATE; HETEROTROPHIC MICROFLAGELLATE; INORGANIC NUTRIENTS; GERLACHE STRAIT; BIOGENIC CARBON; ORGANIC-MATTER</t>
  </si>
  <si>
    <t>Despite the relevance of high latitude oceans to models and budgets of biogenic carbon,and the central role of heterotrophic microbes in global biogeochemical cycles, the patterns of energy flow through the lower food web in polar regions are poorly understood. To assess bacteria-based food webs in polar regions, the distribution, growth, and respiration and grazing losses of bacteria must be characterized. We report on the results of a seasonal (late winter through late summer) study of protist grazing in both Resolute Bay, Northwest Territories, Canadian Arctic and McMurdo Sound, Antarctica, and summarize the literature on the relations between the growth and grazing mortality of polar bacterioplankton. Bacterial abundance varied 5-fold in the Arctic and 25-fold in the Antarctic. Average bacterial growth rates ranged from 0.1 to 1.1 d(-1). During comparable seasons, bacterial abundance was 2- to 3-fold higher and growth rates were 2- to 3-fold lower in the Antarctic than the Arctic. When grazing occurred, microzooplankton consumed nearly all of the local bacterial production. Grazing losses of bacteria were negligible immediately before and after the phytoplankton bloom. We propose that at these times, bacterioplankton were nutrient limited and protists were predominantly herbivorous. Protozoan grazers appear to alternate between bacterivorous and herbivorous nutritional modes as prey fields change in response to the seasonal progression in submarine irradiance and concentration of dissolved nutrients. The timing and magnitude of the phytoplankton bloom and the duration of the post-bloom period exert a significant influence on the flux of bacterioplankton carbon through microzooplankton and ultimately the coupling of the microbial and metazoan food webs.</t>
  </si>
  <si>
    <t>Fisheries &amp; Oceans Canada, Sci Branch, St Johns, NF A1C 5X1, Canada; Mem Univ Newfoundland, Ctr Ocean Sci, St Johns, NF A1C 5S7, Canada</t>
  </si>
  <si>
    <t>Fisheries &amp; Oceans Canada; Memorial University Newfoundland</t>
  </si>
  <si>
    <t>Anderson, MR (corresponding author), Fisheries &amp; Oceans Canada, Sci Branch, POB 5667, St Johns, NF A1C 5X1, Canada.</t>
  </si>
  <si>
    <t>Anderson, Megan/HZL-0176-2023</t>
  </si>
  <si>
    <t>SEP 4</t>
  </si>
  <si>
    <t>10.3354/ame025195</t>
  </si>
  <si>
    <t>472XV</t>
  </si>
  <si>
    <t>WOS:000171011000008</t>
  </si>
  <si>
    <t>Wheeler, S</t>
  </si>
  <si>
    <t>The coldest march - Scott's fatal Antarctic expedition</t>
  </si>
  <si>
    <t>NEW YORK TIMES BOOK REVIEW</t>
  </si>
  <si>
    <t>NEW YORK TIMES</t>
  </si>
  <si>
    <t>229 W 43RD ST, NEW YORK, NY 10036-3959 USA</t>
  </si>
  <si>
    <t>0028-7806</t>
  </si>
  <si>
    <t>NY TIMES BK REV</t>
  </si>
  <si>
    <t>N. Y. Times Book Rev.</t>
  </si>
  <si>
    <t>SEP 2</t>
  </si>
  <si>
    <t>Humanities, Multidisciplinary</t>
  </si>
  <si>
    <t>Arts &amp; Humanities Citation Index (A&amp;HCI)</t>
  </si>
  <si>
    <t>Arts &amp; Humanities - Other Topics</t>
  </si>
  <si>
    <t>466XH</t>
  </si>
  <si>
    <t>WOS:000170671100008</t>
  </si>
  <si>
    <t>Chown, SL; Klok, CJ</t>
  </si>
  <si>
    <t>First record of Palirhoeus eatoni (Coleoptera: Curculionidae) from sub-Antarctic Heard Island</t>
  </si>
  <si>
    <t>AFRICAN ENTOMOLOGY</t>
  </si>
  <si>
    <t>Univ Pretoria, Dept Zool &amp; Entomol, ZA-0002 Pretoria, South Africa.</t>
  </si>
  <si>
    <t>slchown@zoologyup.ac.za</t>
  </si>
  <si>
    <t>Chown, Steven L/H-3347-2011; Chown, Steven/ABD-7646-2021</t>
  </si>
  <si>
    <t>ENTOMOLOGICAL SOC SOUTHERN AFRICA</t>
  </si>
  <si>
    <t>HATFIELD</t>
  </si>
  <si>
    <t>PO BOX 13162, HATFIELD 0028, SOUTH AFRICA</t>
  </si>
  <si>
    <t>1021-3589</t>
  </si>
  <si>
    <t>1026-4914</t>
  </si>
  <si>
    <t>AFR ENTOMOL</t>
  </si>
  <si>
    <t>Afr. Entomol.</t>
  </si>
  <si>
    <t>SEP</t>
  </si>
  <si>
    <t>Entomology</t>
  </si>
  <si>
    <t>495KK</t>
  </si>
  <si>
    <t>WOS:000172339600011</t>
  </si>
  <si>
    <t>Hu, N; Yost, HJ; Clark, EB</t>
  </si>
  <si>
    <t>Cardiac morphology and blood pressure in the adult zebrafish</t>
  </si>
  <si>
    <t>ANATOMICAL RECORD</t>
  </si>
  <si>
    <t>zebrafish heart; atrioventricular valve; trabeculation; coronary vessel; bulbus arteriosus; myocytes; cardiac function; blood pressure</t>
  </si>
  <si>
    <t>CHICK-EMBRYO; BULBUS ARTERIOSUS; MYOCARDIAL ARCHITECTURE; CARDIOVASCULAR-SYSTEM; ANTARCTIC TELEOSTS; HEART; MORPHOGENESIS; HEMODYNAMICS; VENTRICLE; STAGE-18</t>
  </si>
  <si>
    <t>Zebrafish has become a popular model for the study of cardiovascular development. We performed morphologic analysis on 3 months postfertilization zebrafish hearts (n greater than or equal to 20) with scanning electron microscopy, hematoxylin and eosin staining and Masson's trichrome staining, and morphometric analysis on cell organelles with transmission electron photomicrographs. We measured atrial, ventricular, ventral, and dorsal aortic blood pressures (n greater than or equal to 5) with a servonull system. The atrioventricular orifice was positioned on the dorsomedial side of the anterior ventricle, surmounted by the single-chambered atrium. The atrioventricular valve was free of tension apparati but supported by papillary bands to prevent retrograde flow. The ventricle was spanned with fine trabeculae perpendicular to the compact layer and perforated with a subepicardial network of coronary arteries, which originated from the efferent branchial arteries by means of the main coronary vessel. Ventricular myocytes were larger than those in the atrium P &lt; 0.05) with abundant mitochondria close to the sarcolemmal. Sarcoplasmic reticulum was sparse in zebrafish ventricle. Bulbus arteriosus was located anterior to the ventricle, and functioned as an elastic reservoir to absorb the rapid rise of pressure during ventricular contraction. The dense matrix of collagen interspersed across the entire bulbus arteriosus exemplified the characteristics of vasculature smooth muscle. There were pressure gradients from atrium to ventricle, and from ventral to dorsal aorta, indicating that the valves and the branchial arteries, respectively, were points of resistance to blood flow. These data serve as a framework for structure-function investigations of the zebrafish cardiovascular system. Anat Rec 264:1-12, 2001. (C) 2001 Wiley-Liss, Inc.</t>
  </si>
  <si>
    <t>Univ Utah, Dept Pediat, Salt Lake City, UT 84132 USA; Univ Utah, Dept Oncol Sci, Huntsman Canc Inst, Salt Lake City, UT 84112 USA; Primary Childrens Med Ctr, Salt Lake City, UT 84113 USA</t>
  </si>
  <si>
    <t>Utah System of Higher Education; University of Utah; Utah System of Higher Education; University of Utah; Huntsman Cancer Institute</t>
  </si>
  <si>
    <t>Hu, N (corresponding author), Univ Utah, Dept Pediat, 2B465 SOM,50 N Med Dr, Salt Lake City, UT 84132 USA.</t>
  </si>
  <si>
    <t>0003-276X</t>
  </si>
  <si>
    <t>ANAT REC</t>
  </si>
  <si>
    <t>Anat. Rec.</t>
  </si>
  <si>
    <t>SEP 1</t>
  </si>
  <si>
    <t>10.1002/ar.1111</t>
  </si>
  <si>
    <t>465RN</t>
  </si>
  <si>
    <t>WOS:000170603900001</t>
  </si>
  <si>
    <t>Walton, DWH</t>
  </si>
  <si>
    <t>Publishing and the scientific community</t>
  </si>
  <si>
    <t>ANTARCTIC SCIENCE</t>
  </si>
  <si>
    <t>Walton, David/0000-0002-7103-4043</t>
  </si>
  <si>
    <t>PORT CHESTER</t>
  </si>
  <si>
    <t>110 MIDLAND AVE, PORT CHESTER, NY 10573-9863 USA</t>
  </si>
  <si>
    <t>0954-1020</t>
  </si>
  <si>
    <t>ANTARCT SCI</t>
  </si>
  <si>
    <t>Antarct. Sci.</t>
  </si>
  <si>
    <t>10.1017/S0954102001000323</t>
  </si>
  <si>
    <t>Environmental Sciences; Geography, Physical; Geosciences, Multidisciplinary</t>
  </si>
  <si>
    <t>Environmental Sciences &amp; Ecology; Physical Geography; Geology</t>
  </si>
  <si>
    <t>471WT</t>
  </si>
  <si>
    <t>WOS:000170952200001</t>
  </si>
  <si>
    <t>La Mesa, M; Vacchi, M</t>
  </si>
  <si>
    <t>Age and growth of high Antarctic notothenioid fish</t>
  </si>
  <si>
    <t>age; growth; Antarctic; notothenioids; Pauly's index</t>
  </si>
  <si>
    <t>METABOLIC COLD ADAPTATION; PLEURAGRAMMA-ANTARCTICUM; WEDDELL-SEA; PAGOTHENIA-BORCHGREVINKI; REPRODUCTION; LIFE; SILVERFISH; BOULENGER</t>
  </si>
  <si>
    <t>Available literature data on age and growth of high Antarctic fish is reviewed and discussed in relation to environmental seasonality. Except for Antarctic toothfish Dissostichus mawsoni, with maximum total length (TL) more than 170 cm, high Antarctic notothenioids are predominantly small species of less than 45 cm TL. Maximum ages reported for small Trematomus species were generally high (18-23 years), and probably comparable to those of some larger channichthyids. Highest longevity is attained by large nototheniids, such as Aethotaxis mitopteryx and D. mawsoni, of more than 30 years. Most high Antarctic fish spawn for the first time at 50-80% of maximum age. Males of sonic Trematomus species reach spawning maturity earlier than females, but at a higher percentage of maximum age. Pauly's index of growth performance P has been used to compare growth. P for nototheniids is typically between 1 and 2, whereas in channichthyids it is between 2 and 3, Generally, high Antarctic notothenioids exhibit a lower P than those further north. In high Antarctic nototheniids, between 19 and 42 cra maximum theoretical length, growth performance seems to increase from pelagic to benthic fish habit. Thus, although low temperature is a constraint on growth, other ecological factors linked to life style, such as food availability and physiological adaptations, may explain differences in growth performance between fish from the seasonal pack-ice zone and the high Antarctic zone.</t>
  </si>
  <si>
    <t>CNR, Ist Ric Pesca Marittima, I-60125 Ancona, Italy; ICRAM, Ist Cent Ric Sci &amp; Tecnol Applicata Mare, I-00166 Rome, Italy</t>
  </si>
  <si>
    <t>Consiglio Nazionale delle Ricerche (CNR)</t>
  </si>
  <si>
    <t>La Mesa, M (corresponding author), CNR, Ist Ric Pesca Marittima, Largo Fiera della Pesca, I-60125 Ancona, Italy.</t>
  </si>
  <si>
    <t>10.1017/S0954102001000335</t>
  </si>
  <si>
    <t>WOS:000170952200002</t>
  </si>
  <si>
    <t>Bamber, RN; Mitchell, NJ; Ferrero, TJ</t>
  </si>
  <si>
    <t>Rediscovery of Nymphon gerlachei Giltay, 1935 (Arthropoda, Pycnogonida)</t>
  </si>
  <si>
    <t>Antarctic; pycnogonids; Nymphon</t>
  </si>
  <si>
    <t>Recently collected material from west of the Antarctic Peninsula has proven to be consistent with Nymphon gerlachei Giltay, 1935, previously known only from the holotype. The information now available on its intraspecific morphological variability has allowed the distinctions between this species and N. charcoti to be established.</t>
  </si>
  <si>
    <t>Nat Hist Museum, Dept Zool, London SW7 5BD, England</t>
  </si>
  <si>
    <t>Natural History Museum London</t>
  </si>
  <si>
    <t>Bamber, RN (corresponding author), Nat Hist Museum, Dept Zool, Cromwell Rd, London SW7 5BD, England.</t>
  </si>
  <si>
    <t>R.bamber@nhm.ac.uk</t>
  </si>
  <si>
    <t>Ferrero, Timothy/AAR-1030-2020</t>
  </si>
  <si>
    <t>10.1017/S0954102001000347</t>
  </si>
  <si>
    <t>WOS:000170952200003</t>
  </si>
  <si>
    <t>Daponte, MC; Capitanio, FL; Esnal, GB</t>
  </si>
  <si>
    <t>A mechanism for swarming in the tunicate Salpa thompsoni (Foxton, 1961)</t>
  </si>
  <si>
    <t>Antarctica; life history parameters in salps; Salpa thompsoni swarms; stolon development</t>
  </si>
  <si>
    <t>ANTARCTIC SURFACE WATERS; SOUTHERN-OCEAN; GELATINOUS-ZOOPLANKTON; BRANSFIELD STRAIT; EUPHAUSIA-SUPERBA; ELEPHANT-ISLAND; AUSTRAL SUMMER; KRILL; ABUNDANCE; CARBON</t>
  </si>
  <si>
    <t>Two populations of Salpa thompsoni, collected from the Weddell-Scotia confluencc area at the end of two summers (1994 and 1995) with contrasting densities, are compared. The present study was aimed at corroborating whether fluctuations in abundance could be related to sonic life history parameters considered as indicators of growth rate in salp populations, such as the body size of solitary reproductive individuals, number of buds per block or chain in the stolon, and the offspring to parent ratio. No differences were observed in the sizes reached by aggregate individuals, or in the size at which oocyte maturity was attained (moment at which the development of the embryo can be detected). There were no differences in the size reached by the embryos during their residence inside the mother's blastozooid. In 1995, the percentage of non-fecundated blastozooids (which included even the largest individuals) was higher than in 1994. The mean size of the solitary individuals was significantly higher in 1994 than in 1995. The number of buds per block was also significantly higher in most of the stages, confirming that this is the mechanism used by these organisms to produce swarms. This species eventually attains high population densities under favourable environmental conditions such as poor sea-ice cover in winter. Under optimal conditions, the number of potential descendants produced by a single solitary individual would exceed 800.</t>
  </si>
  <si>
    <t>Univ Buenos Aires, Fac Ciencias Exactas &amp; Nat, Dept Ciencias Biol, RA-1428 Buenos Aires, DF, Argentina</t>
  </si>
  <si>
    <t>University of Buenos Aires</t>
  </si>
  <si>
    <t>Esnal, GB (corresponding author), Univ Buenos Aires, Fac Ciencias Exactas &amp; Nat, Dept Ciencias Biol, RA-1428 Buenos Aires, DF, Argentina.</t>
  </si>
  <si>
    <t>Daponte, Maria Cristina/0000-0002-7173-4429</t>
  </si>
  <si>
    <t>10.1017/S0954102001000359</t>
  </si>
  <si>
    <t>WOS:000170952200004</t>
  </si>
  <si>
    <t>Fanciulli, PP; Summa, D; Dallai, R; Frati, F</t>
  </si>
  <si>
    <t>High levels of genetic variability and population differentiation in Gressittacantha terranova (Collembola, Hexapoda) from Victoria Land, Antarctica</t>
  </si>
  <si>
    <t>allozyme electrophoresis; gene flow; geographic differentiation; genetic distance; heterozygosity; speciation</t>
  </si>
  <si>
    <t>ISOTOMURUS COLLEMBOLA; NATURAL-POPULATIONS; DIVERSITY; GENUS; ORIGIN; ACARI; BIOGEOGRAPHY; ISOTOMIDAE; EVOLUTION; DISPERSAL</t>
  </si>
  <si>
    <t>Allozyme electrophoresis was used to assess genetic variability and differentiation in 22 populations of Gressittacantha terranova Wise (Hexapoda, Collembola) from a coastal area of Victoria Land between the Mariner Glacier and the Nansen Ice Sheet. Allelic frequencies were determined at five enzyme loci: Phi, Pgm, Hk, Mpi and Mdh. Levels of variability, estimated as rates of heterozygosity, were higher than those calculated for the same loci in taxonomically related and non-related species of non-Antarctic Collembola. Thus, in spite of the ecological simplicity of Antarctic terrestrial ecosystems, G. terranova is characterized by high levels of genetic variability, and the 22 populations could be divided into three geographic groups, separated by the Aviator and Campbell glaciers. Genetic differentiation reflects the geographic arrangement of the populations, suggesting that the glaciers are effective barriers to gene flow, and that the patchy distribution of collembolan species in Antarctica has the potential to induce, in the long term, microspeciation processes. Interestingly, detectable genetic differentiation was observed between six populations collected at Edmonson Point, even though these are very close to each other, indicating the impact of geographic isolation even within short distances. The only exception to the congruence between genetic and geographic structuring was provided by the population of Apostrophe Island, for which a recent introduction with individuals coming from southern populations is suggested.</t>
  </si>
  <si>
    <t>Univ Siena, Dept Evolutionary Biol, I-53100 Siena, Italy</t>
  </si>
  <si>
    <t>Frati, F (corresponding author), Univ Siena, Dept Evolutionary Biol, Via PA Mattioli 4, I-53100 Siena, Italy.</t>
  </si>
  <si>
    <t>10.1017/S0954102001000360</t>
  </si>
  <si>
    <t>WOS:000170952200005</t>
  </si>
  <si>
    <t>Hodgson, DA; Vyverman, W; Sabbe, K</t>
  </si>
  <si>
    <t>Limnology and biology of saline lakes in the Rauer Islands, eastern Antarctica</t>
  </si>
  <si>
    <t>Antarctic; biology; chemistry; diatoms; lakes; UV radiation</t>
  </si>
  <si>
    <t>FOSSIL PIGMENTS; VESTFOLD HILLS; ULTRAVIOLET-RADIATION; WATER CHEMISTRY; ALGAL; ENVIRONMENTS; ASSEMBLAGES; COMMUNITIES; DYNAMICS; PONDS</t>
  </si>
  <si>
    <t>The Rauer Islands contain more than fifty shallow lakes and small ephemeral ponds. Despite their proximity to the Vestfold Hills-one of the most diverse and intensively studied lake districts of eastern Antarctica-the lakes of the Rauer Islands have remained undescribed. In this study the physical and chemical limnology and biology of ten lakes is presented and their species-environment relationships explored using multivariate statistics. Analyses of chemical and biological data indicate that the Rauer Islands form a distinct limnological province amongst the lakes of the Prydz Bay oases. Salinities range from hypo- to hyper-saline with an ionic order close to that of seawater. Deviance from this order indicates either an earlier origin for some of the most hypersaline lakes when compared with the Vestfold Hills, more rapid evaporation vs precipitation or differences in the sources of ions resulting from isostatic history. With fluctuating salinities, winter water temperatures below -10 degreesC, seasonal ice and slush fori-nation, desiccation and high levels of solar radiation, the lacustrine environment presents considerable abiotic challenges for biological survival. Results indicate that there is little or no planktonic flora in the lakes and no zooplankton were encountered. Despite this, analyses of pigments, diatoms and other micro-algae revealed an active and diverse benthic biota characterized by filamentous cyanobacteria with interstitial algae. Thirty-eight diatom taxa, and a selection of Chlorophyta and Xanthophyta were detected amongst the cyanobacteria. Clusters in the diatom data correspond to salinity. Further analyses of the relationships between the biota and their environment revealed some of the strategies employed for survival, In particular, the synthesis of scytonemin was detected. This pigment is known to function as an extracellular UV sunscreen which protects cyanobacterial cells against damage by ultraviolet radiation, These results support the hypothesis that environmental extremes and biogeographical isolation control the biology of these lakes.</t>
  </si>
  <si>
    <t>British Antarctic Survey, NERC, Cambridge CB3 0ET, England; State Univ Ghent, Dept Biol, Lab Protistol &amp; Aquat Ecol, B-9000 Ghent, Belgium</t>
  </si>
  <si>
    <t>UK Research &amp; Innovation (UKRI); Natural Environment Research Council (NERC); NERC British Antarctic Survey; Ghent University</t>
  </si>
  <si>
    <t>Hodgson, DA (corresponding author), British Antarctic Survey, NERC, High Cross,Madingley Rd, Cambridge CB3 0ET, England.</t>
  </si>
  <si>
    <t>10.1017/S0954102001000372</t>
  </si>
  <si>
    <t>WOS:000170952200006</t>
  </si>
  <si>
    <t>Sinclair, BJ; Sjursen, H</t>
  </si>
  <si>
    <t>Cold tolerance of the Antarctic springtail Gomphiocephalus hodgsoni (Collembola, Hypogastruridae)</t>
  </si>
  <si>
    <t>cryoprotectants; glycerol; overwintering; recrystallization inhibition; supercooling point; thermal hysteresis</t>
  </si>
  <si>
    <t>THERMAL HYSTERESIS; COLLEMBOLA; HARDINESS; RECRYSTALLIZATION; TEMPERATURES; ACCLIMATION; NEMATODE</t>
  </si>
  <si>
    <t>Cold tolerance of the springtail Gomphiocephalus hodgsoni Carpenter (Collembola: Hypogastruridae) was studied at Cape Bird, Ross Island, Antarctica (77 degrees 13'S, 166 degrees 26'E). Microclimate temperatures indicate a highly seasonal thermal environment, with winter minima &lt;-39C. Snow cover significantly buffers both minimum temperatures and cooling rates. Gomphiocephalus hodgsoni survives low temperatures by avoiding freezing. Mean low group supercooling points (SCPs) ranged from -35.4 degreesC in October to -28.3 degreesC in January. The lowest SCP measured was -38.0 degreesC. The high SCP group was very small, making up only 18% of the population in January. In October, G. hodgsoni had a very high glycerol content (&gt;80 mug mg(-1) dry weight), although this declined rapidly to low levels (c. 7-10 mug mg-1 dry weight) in January. Quantities of glucose and trehalose were low during October, but steadily increased throughout the summer. Haemolymph osmolality was exceptionally high (up to 1755 mOsm kg(-1)) at the end of November, but this rapidly declined to c. 500 mOsm kg(-1) by late December. The presence of thermal hysteresis proteins was indicated by both osmometry on haemolymph samples and recrystallization inhibition studies of springtail homogenates. There was a strong relationship between glycerol content and SCP, but the relationship between haemolymph osmolality, SCP and carbohydrates is uncertain.</t>
  </si>
  <si>
    <t>Univ Otago, Dept Zool, Dunedin, New Zealand; Natl Environm Res Inst, Dept Terr Ecol, Silkeborg, Denmark</t>
  </si>
  <si>
    <t>University of Otago; Aarhus University</t>
  </si>
  <si>
    <t>Univ Stellenbosch, Dept Zool, Private Bag X1, ZA-7602 Matieland, South Africa.</t>
  </si>
  <si>
    <t>celatoblatta@hotmail.com</t>
  </si>
  <si>
    <t>Sinclair, Brent J/C-6133-2012; Konestabo, Heidi S/F-9424-2011</t>
  </si>
  <si>
    <t>Konestabo, Heidi Sjursen/0000-0002-0718-3984</t>
  </si>
  <si>
    <t>1365-2079</t>
  </si>
  <si>
    <t>10.1017/S0954102001000384</t>
  </si>
  <si>
    <t>WOS:000170952200007</t>
  </si>
  <si>
    <t>Skotnicki, ML; Selkirk, PM; Broady, P; Adam, KD; Ninham, JA</t>
  </si>
  <si>
    <t>Dispersal of the moss Campylopus pyriformis on geothermal ground near the summits of Mount Erebus and Mount Melbourne, Victoria Land, Antarctica</t>
  </si>
  <si>
    <t>Campylopus pyriformis; genetic diversity; geothermal ground; moss; RAPDs</t>
  </si>
  <si>
    <t>GENETIC DIVERSITY; ROSS-ISLAND; BRYUM-ARGENTEUM; RAPD ANALYSIS; POPULATIONS; FUMAROLES</t>
  </si>
  <si>
    <t>Mount Melbourne in northern Victoria Land, Antarctica, is a glaciated 2733 in volcanic cone. The moss Campylopus pyriformis occurs on two small areas of steam-warmed snow-free ground near its summit. This moss species also occurs in temperate regions world-wide, but has not been recorded elsewhere in continental Antarctica. RAPD (Random Amplified Polymorphic DNA) studies of 26 samples of C. pyriformis from two areas of heated ground on Mount Melbourne showed there was genetic diversity within the population. Genetic evidence for dispersal between the two sites, together with some genetic variation within individual colonies, indicates a single colonisation event has probably occurred at this extremely isolated location followed by multiple mutations. A single sample of moss protonema was collected 25 years ago from steam-warmed ground near the summit of another volcano, Mount Erebus (3794 m), on Ross Island sonic 300 km. south of Mount Melbourne. The moss could not be identified based on morphological and reproductive criteria, as all attempts to differentiate it to a recognisable gametophyte were unsuccessful. The RAPD technique has now shown it to be C. pyriformis, and closely related to the population on Mount Melbourne.</t>
  </si>
  <si>
    <t>Australian Natl Univ, Inst Adv Studies, Res Sch Biol Sci, Canberra, ACT 2601, Australia; Macquarie Univ, Dept Biol Sci, Sydney, NSW 2109, Australia; Univ Canterbury, Dept Plant &amp; Microbial Sci, Christchurch 1, New Zealand; Univ Waikato, Dept Biol Sci, Hamilton, New Zealand</t>
  </si>
  <si>
    <t>Australian National University; Macquarie University; University of Canterbury; University of Waikato</t>
  </si>
  <si>
    <t>Skotnicki, ML (corresponding author), Australian Natl Univ, Inst Adv Studies, Res Sch Biol Sci, GPO Box 4, Canberra, ACT 2601, Australia.</t>
  </si>
  <si>
    <t>10.1017/S0954102001000396</t>
  </si>
  <si>
    <t>WOS:000170952200008</t>
  </si>
  <si>
    <t>Barlow, KE</t>
  </si>
  <si>
    <t>The timing of egg loss in macaroni penguins</t>
  </si>
  <si>
    <t>EUDYPTES-CHRYSOLOPHUS; SOUTH GEORGIA</t>
  </si>
  <si>
    <t>Barlow, KE (corresponding author), British Antarctic Survey, NERC, High Cross,Madingley Rd, Cambridge CB3 0ET, England.</t>
  </si>
  <si>
    <t>10.1017/S0954102001000402</t>
  </si>
  <si>
    <t>WOS:000170952200009</t>
  </si>
  <si>
    <t>Emslie, SD</t>
  </si>
  <si>
    <t>Radiocarbon dates from abandoned penguin colonies in the Antarctic Peninsula region</t>
  </si>
  <si>
    <t>abandoned colonies; Adelie penguin; chinstrap penguin; occupation history; radiocarbon dates</t>
  </si>
  <si>
    <t>ORNITHOGENIC SOILS; AGE CALIBRATION; ROOKERIES; BAY; RECORD; LAND; BP</t>
  </si>
  <si>
    <t>Sixty-three radiocarbon dates on organic remains from 21 abandoned colonies of chinstrap (Pygoscelis antarctica) and Adelie (P. adeliae) penguins on 12 islands in the Antarctic Peninsula region are evaluated for determining the occupation history of penguins in this region. This record also provides a means for assessing sea-level change, glacial advances and retreats, and population responses by penguins to these events. All conventional dates were corrected for the marine-carbon reservoir effect by applying a DeltaR=700 +/- 50 BP and marine calibration curves. The 63 calibrated dates give 2 sigma ranges (95% confidence intervals) from modern to 5990 yr BP. These dates indicate progressively older occupations from north to south along the Antarctic Peninsula. No sites older than approximately 540 BP occur in the northern peninsula, either because they have not yet been found or older sites have been destroyed by solifluction and glacial scouring. Three dates from one locality near Rothera Point, Adelaide Island, also were calibrated with a DeltaR=750 +/- 50 and 800 +/- 50 BP. No difference was found between calibrated dates using these two other DeltaR values, indicating that local corrections for variation in upwelling intensity may not be necessary.</t>
  </si>
  <si>
    <t>Univ N Carolina, Dept Biol Sci, Wilmington, NC 28403 USA</t>
  </si>
  <si>
    <t>University of North Carolina; University of North Carolina Wilmington</t>
  </si>
  <si>
    <t>Emslie, SD (corresponding author), Univ N Carolina, Dept Biol Sci, Wilmington, NC 28403 USA.</t>
  </si>
  <si>
    <t>10.1017/S0954102001000414</t>
  </si>
  <si>
    <t>WOS:000170952200010</t>
  </si>
  <si>
    <t>Hjort, C; Bentley, MJ; Ingólfsson, O</t>
  </si>
  <si>
    <t>Holocene and pre-Holocene temporary disappearance of the George VI Ice Shelf, Antarctic Peninsula</t>
  </si>
  <si>
    <t>Antarctic Peninsula; Alexander Island; glacial chronology; ice shelf</t>
  </si>
  <si>
    <t>QUATERNARY GLACIAL HISTORY; AGE CALIBRATION; RETREAT; RADIOCARBON; MAXIMUM; ISLAND; SHEET</t>
  </si>
  <si>
    <t>We present evidence for the absence of the George VI Ice Shelf during a brief period in the mid-Holocene and during one or more earlier interstadials or interglacials. Barnacle Bathylasma corolliforme shells sampled from ice shelf moraines at Two Step Cliffs on Alexander Island have been dated to c. 5750-6000 C-14 yr BP(c. 6550-6850 cal yr BP) and imply seasonally open water in the George VI Sound during this period. Other shells are beyond the range of radiocarbon dating and imply open water during one or more previous interglacial or interstadial period, prior to 40 000 C-14 yr BP. Our results show that the ongoing collapse of some Antarctic Peninsula ice shelves is not unprecedented.</t>
  </si>
  <si>
    <t>Lund Univ, Dept Quaternary Geol, SE-22362 Lund, Sweden; Univ Durham, Dept Geog, Durham DH1 3LE, England; Univ Gothenburg, Dept Geol, SE-40530 Gothenburg, Sweden; UNIS, N-9170 Longyearbyen, Norway</t>
  </si>
  <si>
    <t>Lund University; Durham University; University of Gothenburg; University Centre Svalbard (UNIS)</t>
  </si>
  <si>
    <t>Hjort, C (corresponding author), Lund Univ, Dept Quaternary Geol, Solvegatan 13, SE-22362 Lund, Sweden.</t>
  </si>
  <si>
    <t>Bentley, Michael J/F-7386-2011; Ingolfsson, Olafur/L-8950-2015</t>
  </si>
  <si>
    <t>Bentley, Michael J/0000-0002-2048-0019; Ingolfsson, Olafur/0000-0001-8143-2005</t>
  </si>
  <si>
    <t>10.1017/S0954102001000426</t>
  </si>
  <si>
    <t>WOS:000170952200011</t>
  </si>
  <si>
    <t>Näslund, JO</t>
  </si>
  <si>
    <t>Landscape development in western and central Dronning Maud Land, East Antarctica</t>
  </si>
  <si>
    <t>Dronning Maud Land; erosion; ice sheet; landscape evolution; palaeosurface; passive continental margin; planation surface</t>
  </si>
  <si>
    <t>SOUTHERN VICTORIA LAND; TRANSANTARCTIC MOUNTAINS; ICE-SHEET; DRY VALLEYS; EVOLUTION; HEIMEFRONTFJELLA; GLACIER; EVENTS; UPLIFT</t>
  </si>
  <si>
    <t>Large-scale bedrock morphology and relief of two key areas, the Jutulsessen Nunatak and the Jutulstraumen ice stream are used to discuss glacial history and landscape development in western and central Dronning Maud Land, Antarctica. Two main landform components were identified: well-defined summit plateau surfaces and a typical alpine glacial landscape. The flat, high-elevation plateau surfaces previously were part of one or several continuous regional planation surfaces. In western Dronning Maud Land, overlying cover rocks of late Palaeozoic age show that the planation surface(s) existed in the early Permian, prior to the break-up of Gondwana. A well-developed escarpment, a mega landform typical for passive continental margins, bounds the palaeosurface remnants to the north for a distance of at least 700 km. The Cenozoic glacial landscape, incised in the palaeosurface and escarpment. is exemplified by Jutulsessen Nunatak, where a c. 1.2 km deep glacial valley system is developed. However, the prominent Perick-Jutul Trough represents some of the deepest dissection of the palaeosurface. This originally tectonic feature is today occupied by the Jutulstraumen ice stream. New topographic data show that the bed of the Penck-Jutul Trough is situated 1.9 +/-0.1 km below sea level, and that the total landscape relief is at least 4.2 km. Today's relief is a result of several processes, including tectonic faulting, subacrial weathering, fluvial erosion, and glacial erosion. It is probable that erosion by ice streams has deepened the tectonic troughs of Dronning Maud Land since the onset of ice sheet glaciation in the Oligocene, and continues today. An attempt is made to identify major events in the long-term landscape development of Dronning Maud Land, since the break-up of the Gondwana continent.</t>
  </si>
  <si>
    <t>Stockholm Univ, Dept Phys Geog &amp; Quaternary Geol, S-10691 Stockholm, Sweden</t>
  </si>
  <si>
    <t>Stockholm University</t>
  </si>
  <si>
    <t>jens@natgeo.su.se</t>
  </si>
  <si>
    <t>Näslund, Jens-Ove/J-8200-2013</t>
  </si>
  <si>
    <t>10.1017/S0954102001000438</t>
  </si>
  <si>
    <t>WOS:000170952200012</t>
  </si>
  <si>
    <t>Pudsey, CJ; Evans, J; Domack, EW; Morris, P; Del Valle, RA</t>
  </si>
  <si>
    <t>Bathymetry and acoustic facies beneath the former Larsen-A and Prince Gustav ice shelves, north-west Weddell Sea</t>
  </si>
  <si>
    <t>echo character; glaciomarine sediment; Larsen Ice Shelf; subglacial sediment; Weddell Sea</t>
  </si>
  <si>
    <t>JAMES-ROSS-ISLAND; ANTARCTIC PENINSULA; LATE PLEISTOCENE; GLACIAL HISTORY; RETREAT; DEEP</t>
  </si>
  <si>
    <t>We present preliminary results of the first detailed surveys of the former Larsen-A Ice Shelf, Larsen Inlet and southern Prince Gustav Channel, where disintegration of small ice shelves in the past ten years has exposed the seafloor. Glacial troughs in the Larsen-A area, Larsen Inlet and Prince Gustav Channel reach 900-1100 m depth and have hummocky floors. Farther south-cast, the continental shelf is shallower (400-500 m) and its surface is fluted to smooth, with the density of iceberg furrowing increasing towards the shelf edge. Acoustic profiles show a drape of transparent sediment 4-8 in thick in Prince Gustav Channel, thinning southwards. In cores, this drape corresponds to diatom-bearing marine and glacial-marine mud. In the Larsen-A area and Larsen Inlet, acoustically opaque sediment includes proximal ice shelf glaciomarine gravelly and sandy muds, and firm to stiff diamicts probably deposited subglacially. These are overlain by thin (up to 1.3 m) glaciomarine muds, locally with distinctive diatom ooze laminae.</t>
  </si>
  <si>
    <t>British Antarctic Survey, NERC, Cambridge CB3 0ET, England; Hamilton Coll, Dept Geol, Clinton, NY 13323 USA; Inst Antartico Argentino, Dept Ciencias Tierra, Buenos Aires, DF, Argentina</t>
  </si>
  <si>
    <t>UK Research &amp; Innovation (UKRI); Natural Environment Research Council (NERC); NERC British Antarctic Survey; Hamilton College; Instituto Antartico Argentino</t>
  </si>
  <si>
    <t>British Antarctic Survey, NERC, High Cross,Madingley Rd, Cambridge CB3 0ET, England.</t>
  </si>
  <si>
    <t>Evans, Jeffrey/F-5548-2010</t>
  </si>
  <si>
    <t>10.1017/S095410200100044X</t>
  </si>
  <si>
    <t>WOS:000170952200013</t>
  </si>
  <si>
    <t>Del Valle, RA; Morelli, JR; Rinaldi, CA</t>
  </si>
  <si>
    <t>Geology of new localities on Tabarin Peninsula, northern Antarctic Peninsula</t>
  </si>
  <si>
    <t>Gondwana; Larsen Basin; northern Antarctic Peninsula; Tabarin Peninsula</t>
  </si>
  <si>
    <t>BACK-ARC BASIN</t>
  </si>
  <si>
    <t>New outcrops of Hope Bay Formation and Larsen Basin rocks have been exposed by recent ice-retreat on Tabarin Peninsula, northern Antarctic Peninsula. Quartzose, very low-grade metasedimentary rocks, cropping out at Balegno Nunatak (63 degrees 28'53S, 57 degrees 00'31W) are assigned to the Permian-Triassic Hope Bay Formation, and dioritic rocks are assigned to the Antarctic Peninsula batholith. Sedimentary rocks exposed at Rubulis Nunatak (63 degrees 30'52S, 57 degrees 07'29W) closely resemble Lower Cretaceous sedimentary rocks cropping out at nearby Troilo Nunatak, western Tabarin Peninsula. These rocks are correlated with the lower Gustav Group (?Barremian-Coniacian) of the Larsen Basin. This new record confirms that the Larsen Basin extends over southern Tabarin Peninsula, where basin sediments are thought to be faulted against sediments of the Antarctic Peninsula magmatic arc.</t>
  </si>
  <si>
    <t>Inst Antartico Argentino, Buenos Aires, DF, Argentina</t>
  </si>
  <si>
    <t>Instituto Antartico Argentino</t>
  </si>
  <si>
    <t>Del Valle, RA (corresponding author), Inst Antartico Argentino, Cerrito 1248,C1010AAZ, Buenos Aires, DF, Argentina.</t>
  </si>
  <si>
    <t>WOS:000170952200014</t>
  </si>
  <si>
    <t>McMorrow, AJ; Curran, MAJ; Van Ommen, TD; Morgan, V; Pook, MJ; Allison, I</t>
  </si>
  <si>
    <t>Intercomparison of firn core and meteorological data</t>
  </si>
  <si>
    <t>automatic weather station; firn core; meteorology; oxygen isotope ratios; sea salt ions</t>
  </si>
  <si>
    <t>ICE-CORE; LAW DOME; ANTARCTICA; PRECIPITATION; AEROSOL; CLIMATOLOGY; SEASONALITY</t>
  </si>
  <si>
    <t>High resolution firn core records of the oxygen isotope ratio (delta O-18) and trace chemical species were extracted from a high accumulation site on Law Dome, East Antarctica. Inter-core comparisons were conducted and regional events identified in cores 5 km apart. High resolution dating of one of the firn cores was established using a co-located Automatic Weather Station (AWS) equipped with a snow accumulation sensor, allowing dating of individual precipitation events in the firn core record. Variations in the delta O-18 and trace chemical records were compared with meteorological conditions at the mesoscale and the synoptic-scale. Particular focus was given to an abrupt change in sea salt concentrations and delta O-18 within a depth range that appears from AWS accumulation data to have been deposited over a 24 hour period. The abrupt change in the firn core record was found to be consistent with an abrupt change in meteorological conditions. Direct comparisons between high resolution firn core records and meteorological conditions will greatly facilitate the interpretation of signals preserved in deep ice cores.</t>
  </si>
  <si>
    <t>Antarctic CRC, Hobart, Tas 7001, Australia; Univ Tasmania, Inst Antarctic &amp; So Ocean Studies, Hobart, Tas 7001, Australia; Australian Antarctic Div, Hobart, Tas 7001, Australia</t>
  </si>
  <si>
    <t>University of Tasmania; Australian Antarctic Division</t>
  </si>
  <si>
    <t>Curran, MAJ (corresponding author), Antarctic CRC, GPO Box 252-80, Hobart, Tas 7001, Australia.</t>
  </si>
  <si>
    <t>Pook, Michael J/A-3810-2012; Allison, Ian F/I-4477-2015; van Ommen, Tas/B-5020-2012</t>
  </si>
  <si>
    <t>Allison, Ian F/0000-0001-9599-0251; van Ommen, Tas/0000-0002-2463-1718</t>
  </si>
  <si>
    <t>10.1017/S0954102001000463</t>
  </si>
  <si>
    <t>WOS:000170952200015</t>
  </si>
  <si>
    <t>Lachlan-Cope, T; Ladkin, R; Turner, J; Davison, P</t>
  </si>
  <si>
    <t>Observations of cloud and precipitation particles on the Avery Plateau, Antarctic Peninsula</t>
  </si>
  <si>
    <t>clouds; microphysics; precipitation</t>
  </si>
  <si>
    <t>Surface-based observations were taken of cloud and precipitation particles on the Avery Plateau (66 degrees 50.34'S 65 degrees 29.58'W), Antarctic Peninsula from 25 November to 13 December 1995. This paper considers cloud parameters on three days during this period when the cloud base reached ground level and snow was falling. It was found that on all three days more ice crystals were present in the cloud than would be expected from simple theoretical considerations. The rate of snowfall decreased as the number of ice crystals increased, the large number of ice crystals present effectively suppressing the formation of large precipitation-sized crystals. The source of the ice nuclei that allowed the formation of the large number of crystals is not known for certain but is thought to be the snow surface, possibly in the form of very fine ice crystals blown from the surface during blowing/drifting snow episodes.</t>
  </si>
  <si>
    <t>British Antarctic Survey, NERC, Cambridge CB3 0ET, England; Univ Manchester, Inst Sci &amp; Technol, Manchester M60 1QD, Lancs, England</t>
  </si>
  <si>
    <t>UK Research &amp; Innovation (UKRI); Natural Environment Research Council (NERC); NERC British Antarctic Survey; University of Manchester</t>
  </si>
  <si>
    <t>10.1017/S0954102001000475</t>
  </si>
  <si>
    <t>WOS:000170952200016</t>
  </si>
  <si>
    <t>Fong, NJC; Burgess, ML; Barrow, KD; Glenn, DR</t>
  </si>
  <si>
    <t>Carotenoid accumulation in the psychrotrophic bacterium Arthrobacter agilis in response to thermal and salt stress</t>
  </si>
  <si>
    <t>APPLIED MICROBIOLOGY AND BIOTECHNOLOGY</t>
  </si>
  <si>
    <t>ANTARCTIC SEA-ICE; MICROCOCCUS-ROSEUS; HALOPHILIC BACTERIA; PIGMENTS; C-50-CAROTENOIDS; BACTERIORUBERIN; BIOSYNTHESIS; SPECTROSCOPY; MEMBRANES; GROWTH</t>
  </si>
  <si>
    <t>A psychrotrophic strain of Arthrobacter agilis, isolated from Antarctic sea ice, grows from 5 degreesC to 40 degreesC and in culture media containing 0-10% (w/v) NaCl. Maximum growth rate occurred at 30-35 degreesC with a drastic decline as the cultivation temperatures diverged. Adaptation to extremes of low temperature may be partially attributed to the production of the C-50 carotenoid bacterioruberin, and its glycosylated derivatives. Lowering of the cultivation temperature resulted in a concomitant increase in carotenoid production, which may contribute to membrane stabilisation at low temperature. Maximum biomass accumulation occurred at 5-30 degreesC with a tenfold reduction at 40 degreesC. Changes in growth rates were minimal in culture media containing 0-2% (,w/v) NaCl at 10 degreesC while a gradual decrease in growth rates occurred at higher salinity. Biomass accumulation at different salinity followed a trend similar to that observed with different cultivation temperatures. Maximum biomass accumulation was observed in culture media containing 0-5% (w/v) NaCl with a tenfold reduction at 10% (w/v) NaCl. Carotenoid production also decreased as salinity increased.</t>
  </si>
  <si>
    <t>Univ New S Wales, Sch Biochem &amp; Mol Genet, Sydney, NSW, Australia; Univ New S Wales, CRC Food Ind Innovat, Sydney, NSW, Australia</t>
  </si>
  <si>
    <t>University of New South Wales Sydney; University of New South Wales Sydney</t>
  </si>
  <si>
    <t>Barrow, KD (corresponding author), Univ New S Wales, Sch Biochem &amp; Mol Genet, Sydney, NSW, Australia.</t>
  </si>
  <si>
    <t>0175-7598</t>
  </si>
  <si>
    <t>APPL MICROBIOL BIOT</t>
  </si>
  <si>
    <t>Appl. Microbiol. Biotechnol.</t>
  </si>
  <si>
    <t>5-6</t>
  </si>
  <si>
    <t>10.1007/s002530100739</t>
  </si>
  <si>
    <t>Biotechnology &amp; Applied Microbiology</t>
  </si>
  <si>
    <t>477FX</t>
  </si>
  <si>
    <t>WOS:000171273500023</t>
  </si>
  <si>
    <t>Martin, AR; Hall, P; Richard, PR</t>
  </si>
  <si>
    <t>Dive behaviour of belugas (Delphinapterus leucas) in the shallow waters of western Hudson Bay</t>
  </si>
  <si>
    <t>ARCTIC</t>
  </si>
  <si>
    <t>beluga; white whale; Hudson Bay; diving; dive behaviour</t>
  </si>
  <si>
    <t>DEEP; WILD</t>
  </si>
  <si>
    <t>Beluga diving was studied in western Hudson Bay, where the preferred habitat of this whale in summer is shallow coastal waters. No relationship was found between the duration of a dive and the surface interval either preceding or following it. During rare periods of intense diving, 77% of an average dive cycle was spent below the water surface. Only in waters deeper than 25 m did any whale spend more than half its time below the surface zone;, in rivers, less than 15% of the time was spent at depths of 4 m or more. The frequency of long dives increased with water depth. Maximum dive duration was 15.6 min. Dives to depths of 25 m or less were of variable duration and time-depth profile; most dives exceeding 50 m had a square profile and reached the seabed. The easterly migration in early September took the whales into water deeper than 100 in for the first time in several months, and they dived frequently to the bottom during this period. No clear difference in dive capability was found between western Hudson Bay belugas and those that inhabit deeper waters farther north. The preference of this Population for shallow water in summer is not dictated by an inability to dive to greater depths; belugas can utilize benthic resources throughout Hudson Bay.</t>
  </si>
  <si>
    <t>Univ St Andrews, NERC, Sea Mammal Res Unit, St Andrews KY16 8LB, Fife, Scotland; Fisheries &amp; Oceans Canada, Inst Freshwater, Sci Lab, Winnipeg, MB R3T 2N6, Canada</t>
  </si>
  <si>
    <t>UK Research &amp; Innovation (UKRI); Natural Environment Research Council (NERC); University of St Andrews; Fisheries &amp; Oceans Canada</t>
  </si>
  <si>
    <t>Martin, AR (corresponding author), British Antarctic Survey, NERC, Madingley Rd, Cambridge CB3 0ET, England.</t>
  </si>
  <si>
    <t>ARCTIC INST N AMER</t>
  </si>
  <si>
    <t>CALGARY</t>
  </si>
  <si>
    <t>UNIV OF CALGARY 2500 UNIVERSITY DRIVE NW 11TH FLOOR LIBRARY TOWER, CALGARY, ALBERTA T2N 1N4, CANADA</t>
  </si>
  <si>
    <t>0004-0843</t>
  </si>
  <si>
    <t>Arctic</t>
  </si>
  <si>
    <t>481QZ</t>
  </si>
  <si>
    <t>WOS:000171532300007</t>
  </si>
  <si>
    <t>Eniade, A; Murphy, AV; Landreau, G; Ben, RN</t>
  </si>
  <si>
    <t>A general synthesis of structurally diverse building blocks for preparing analogues of C-linked antifreeze glycoproteins</t>
  </si>
  <si>
    <t>BIOCONJUGATE CHEMISTRY</t>
  </si>
  <si>
    <t>ANTARCTIC FISH; GLYCOPEPTIDE; PROTEINS; BINDING; PHASE; ICE; OLIGOSACCHARIDES; MIMETICS; GP120; TN</t>
  </si>
  <si>
    <t>A synthetic methodology to afford unusual glycoconjugate building blocks useful for the solid-phase synthesis of C-linked antifreeze glycoprotein (AFGP) analogues is described. Such compounds are urgently required in order to elucidate the molecular mechanism by which AFGPs function. All reactions are general in nature and accommodate structural variation in the carbohydrate moiety, polypeptide backbone, and amino acid side chain.</t>
  </si>
  <si>
    <t>SUNY Binghamton, Dept Chem, Binghamton, NY 13902 USA</t>
  </si>
  <si>
    <t>State University of New York (SUNY) System; State University of New York (SUNY) Binghamton</t>
  </si>
  <si>
    <t>Ben, RN (corresponding author), SUNY Binghamton, Dept Chem, Binghamton, NY 13902 USA.</t>
  </si>
  <si>
    <t>Ben, Robert/0000-0002-4625-5389</t>
  </si>
  <si>
    <t>NIGMS NIH HHS [GM60319] Funding Source: Medline</t>
  </si>
  <si>
    <t>NIGMS NIH HHS(United States Department of Health &amp; Human ServicesNational Institutes of Health (NIH) - USANIH National Institute of General Medical Sciences (NIGMS))</t>
  </si>
  <si>
    <t>1043-1802</t>
  </si>
  <si>
    <t>BIOCONJUGATE CHEM</t>
  </si>
  <si>
    <t>Bioconjugate Chem.</t>
  </si>
  <si>
    <t>SEP-OCT</t>
  </si>
  <si>
    <t>10.1021/bc0155059</t>
  </si>
  <si>
    <t>Biochemical Research Methods; Biochemistry &amp; Molecular Biology; Chemistry, Multidisciplinary; Chemistry, Organic</t>
  </si>
  <si>
    <t>Biochemistry &amp; Molecular Biology; Chemistry</t>
  </si>
  <si>
    <t>476AZ</t>
  </si>
  <si>
    <t>WOS:000171205200018</t>
  </si>
  <si>
    <t>Kuznetsov, AP</t>
  </si>
  <si>
    <t>The role of Antarctica in the formation of the Cenozoic climate and contemporary open sea abyssal fauna</t>
  </si>
  <si>
    <t>BIOLOGY BULLETIN</t>
  </si>
  <si>
    <t>OCEAN; AGE</t>
  </si>
  <si>
    <t>The key role of the Antarctic continent in the formation of the contemporary (Cenozoic) zonal-contrast climate and related geologically young (Postmesozoic) contemporary abyssal fauna of the World Ocean is discussed on the basis of the current concepts of pleitectonics, history of planetary climates, paleobiooceanology, and bioevolution. It has been shown that the flows of cold aerated near-Antarctic waters that started to descend in the open sea abyssal in the middle of Cenozoic were capable of substituting for previously (in Mesozoic) heated (up to 15-20degreesC) abyssal waters within only 1500-2000 years. Following the descending near-Antarctic waters, the shallow and cold water oxyphilic fauna assimilated the abyssal zone that had been warm water and weakly populated.</t>
  </si>
  <si>
    <t>Russian Acad Sci, PP Shirshov Oceanol Inst, Moscow 117851, Russia</t>
  </si>
  <si>
    <t>Russian Academy of Sciences; Shirshov Institute of Oceanology</t>
  </si>
  <si>
    <t>Russian Acad Sci, PP Shirshov Oceanol Inst, Nakhimovskii Pr 36, Moscow 117851, Russia.</t>
  </si>
  <si>
    <t>PLEIADES PUBLISHING INC</t>
  </si>
  <si>
    <t>MOSCOW</t>
  </si>
  <si>
    <t>PLEIADES PUBLISHING INC, MOSCOW, 00000, RUSSIA</t>
  </si>
  <si>
    <t>1062-3590</t>
  </si>
  <si>
    <t>1608-3059</t>
  </si>
  <si>
    <t>BIOL BULL+</t>
  </si>
  <si>
    <t>Biol. Bull</t>
  </si>
  <si>
    <t>10.1023/A:1016708714022</t>
  </si>
  <si>
    <t>528EH</t>
  </si>
  <si>
    <t>WOS:000174231100014</t>
  </si>
  <si>
    <t>Castro-González, MI; Aurioles-Gamboa, D; Montaño-Benavides, S; Romo, FPG; López-Orea, N</t>
  </si>
  <si>
    <t>Total lipids, cholesterol and plasmatic triglycerides in California sea lion pups (Zalophus californianus) from the Gulf of California</t>
  </si>
  <si>
    <t>CIENCIAS MARINAS</t>
  </si>
  <si>
    <t>Spanish</t>
  </si>
  <si>
    <t>Zalophus californianus; total lipids; cholesterol; triglycerides; plasma</t>
  </si>
  <si>
    <t>ANTARCTIC FUR SEALS; MEXICO; SUR</t>
  </si>
  <si>
    <t>The concentrations of total lipids, cholesterol and plasmatic triglycerides of breeding pups of Zalophus californianus from Los Islotes (Baja California Sur, Mexico) were quantified during the summer of 1999. The contents of total lipids and cholesterol were similar between females and males, with a range of 0.056-0.061 mg/dL and 108-240 mg/dL, respectively. The maximum value of cholesterol found in males belonged to those with smaller weight (240 mg/dL: 8.1 kg); in females, the opposite occurred (112 mg/dL: 14.1 kg), A similar behavior was observed when cholesterol was compared to the thickness of the fat layer. Triglyceride values were very heterogeneous in both females and males, since these values are strongly influenced by the different fasting periods of the pups and because these levels rise during the nutritious lipemia, ranging from 11 to 306 mg/dL in females and from 15 to 232 mg/dL in males. The correlation between morphometric measurements and the clinical parameters was very low. A greater correlation was detected between cholesterol and weight in females; in males it was almost null. No correlation was detected between triglycerides and the morphometric measurements studied. The population at Los Islotes has shown good status during the last four breeding seasons (steady pup production, high pup body condition, stable female fecundity), and during the 1999 sampling, pup body conditions were within the normal values estimated for the Gulf of California in regard to axillary girth, sculp thickness and Fulton's condition factor. For these reasons, we consider that triglycerides and cholesterol in pup plasma circa two months old could provide a reference framework for subsequent comparative studies, particularly during periods of environmental stress, such as El Nino.</t>
  </si>
  <si>
    <t>Inst Nacl Ciencias Med &amp; Nutr Salvador Zubiran, Direcc Nutr, Mexico City 14000, DF, Mexico; IPN, Ctr Interdisciplinario Ciencias Marinas, Lab Ecol Mamiferos Marinos, La Paz 23000, Baja Calif Sur, Mexico; Inst Nacl Ciencias Med &amp; Nutr Salvador Zubiran, Nutriol Clin, Mexico City 14000, DF, Mexico</t>
  </si>
  <si>
    <t>Instituto Nacional de Ciencias Medicas y Nutricion Salvador Zubiran - Mexico; Instituto Politecnico Nacional - Mexico; Instituto Nacional de Ciencias Medicas y Nutricion Salvador Zubiran - Mexico</t>
  </si>
  <si>
    <t>Castro-González, MI (corresponding author), Inst Nacl Ciencias Med &amp; Nutr Salvador Zubiran, Direcc Nutr, Vasco de Quiroga 15, Mexico City 14000, DF, Mexico.</t>
  </si>
  <si>
    <t>INSTITUTO INVESTIGACIONES OCEANOLOGICAS, U A B C</t>
  </si>
  <si>
    <t>BAJA CALIFORNIA</t>
  </si>
  <si>
    <t>APARTADO POSTAL 423, ENSENADA, BAJA CALIFORNIA 22800, MEXICO</t>
  </si>
  <si>
    <t>0185-3880</t>
  </si>
  <si>
    <t>CIENC MAR</t>
  </si>
  <si>
    <t>Ceinc. Mar.</t>
  </si>
  <si>
    <t>468PG</t>
  </si>
  <si>
    <t>WOS:000170765400004</t>
  </si>
  <si>
    <t>Snape, I; Morris, CE; Cole, CM</t>
  </si>
  <si>
    <t>The use of permeable reactive barriers to control contaminant dispersal during site remediation in Antarctica</t>
  </si>
  <si>
    <t>2nd International Conference on Contaminates in Freezing Ground</t>
  </si>
  <si>
    <t>JUL 02-05, 2000</t>
  </si>
  <si>
    <t>FITZWILLIAM COLL, CAMBRIDGE, ENGLAND</t>
  </si>
  <si>
    <t>FITZWILLIAM COLL</t>
  </si>
  <si>
    <t>permeable reactive barriers; contaminant dispersal; Antarctica</t>
  </si>
  <si>
    <t>ACTIVATED CARBON; DISSOLVED METALS; WASTEWATERS; ZEOLITES; PRODUCTS; SOILS</t>
  </si>
  <si>
    <t>When used as part of an integrated contaminated sites remediation program, permeable reactive barriers are a valuable technological application that can remove, retain or treat contaminated waters in seasonally frozen ground in remote areas. The main advantages of permeable reactive barriers for application in remote cold regions are that they are passive low-technology systems that do not require power to operate; they can be left at short notice during extreme weather events; and most importantly, they have a minimal impact on the environment as they can be completely removed at the end of site operations. However, barrier technology was originally developed for use in temperate regions and site-specific adaptations are required to ensure effective deployment and recovery from seasonally frozen around. Experience gained from testing a variety of fill materials on site at Casey Station, Antarctica, indicates that fine-grained reactive materials are less suitable than coarse-grained (free-draining) materials. Preliminary results from simple field trials using granular activated carbon indicate that a significant improvement in water quality is possible for waters that contain high concentrations of petroleum hydrocarbons and heavy metals. For remote area deployments barriers are best pre-assembled in modular form to allow rapid emplacement in frozen ground before seasonal melting begins. Future developments that are needed for efficient application in cold regions include the need to quantify reaction/adsorption rates at low temperatures for fill media and to establish breakthrough curves for promising materials. (C) 2001 Elsevier Science B.V. All rights reserved.</t>
  </si>
  <si>
    <t>Australian Antarctic Div, Human Impacts Res, Kingston, Tas 7050, Australia; Univ Wollongong, Dept Civil Min &amp; Environm Engn, Wollongong, NSW 2522, Australia; DPIWE, Hobart, Tas 7001, Australia</t>
  </si>
  <si>
    <t>Snape, I (corresponding author), Australian Antarctic Div, Human Impacts Res, Channel Highway, Kingston, Tas 7050, Australia.</t>
  </si>
  <si>
    <t>ian.snape@aad.gov.au</t>
  </si>
  <si>
    <t>2-3</t>
  </si>
  <si>
    <t>10.1016/S0165-232X(01)00027-1</t>
  </si>
  <si>
    <t>475CM</t>
  </si>
  <si>
    <t>WOS:000171144200008</t>
  </si>
  <si>
    <t>Iorizzi, M; De Marino, S; Zollo, F</t>
  </si>
  <si>
    <t>Steroidal oligoglycosides from the asteroidea</t>
  </si>
  <si>
    <t>CURRENT ORGANIC CHEMISTRY</t>
  </si>
  <si>
    <t>BIOLOGICALLY-ACTIVE GLYCOSIDES; NUCLEAR-MAGNETIC-RESONANCE; STARFISH ASTERIAS-AMURENSIS; ANTARCTIC STARFISH; SOFT CORAL; NMR-SPECTROSCOPY; DEFENSE SECRETION; NATURAL-PRODUCTS; STRUCTURAL ELUCIDATION; FAMILY ECHINASTERIDAE</t>
  </si>
  <si>
    <t>Starfish extracts have been reported to exhibit a broad spectrum of pharmaco logical properties, which are related to the presence of typical steroidal oligoglycosides. In the animal kingdom, these metabolites have only been found in Echinodermata and particularly in the class Asteroidea (sea stars). This communication offers a general view of steroid oligoglycoside distribution among starfishes and focuses on a number of recent examples, much of these from the authors' laboratory, to discuss structural characteristics, biological activities and methods of investigation.</t>
  </si>
  <si>
    <t>Univ Naples Federico 2, Dipartimento Chim Sostanze Nat, I-80131 Naples, Italy; Univ Studi Molise, Dipartimento Sci &amp; Tecnol Agroaimentari Ambiental, I-86100 Campobasso, Italy</t>
  </si>
  <si>
    <t>University of Naples Federico II; University of Molise</t>
  </si>
  <si>
    <t>Zollo, F (corresponding author), Univ Naples Federico 2, Dipartimento Chim Sostanze Nat, Via D Montesano 49, I-80131 Naples, Italy.</t>
  </si>
  <si>
    <t>fzollo@cds.unina.it</t>
  </si>
  <si>
    <t>Iorizzi, Maria/F-4491-2012; De Marino, Simona/AAZ-5662-2021</t>
  </si>
  <si>
    <t>Iorizzi, Maria/0000-0002-8653-6628;</t>
  </si>
  <si>
    <t>BENTHAM SCIENCE PUBL LTD</t>
  </si>
  <si>
    <t>SHARJAH</t>
  </si>
  <si>
    <t>EXECUTIVE STE Y26, PO BOX 7917, SAIF ZONE, 1200 BR SHARJAH, U ARAB EMIRATES</t>
  </si>
  <si>
    <t>1385-2728</t>
  </si>
  <si>
    <t>CURR ORG CHEM</t>
  </si>
  <si>
    <t>Curr. Org. Chem.</t>
  </si>
  <si>
    <t>Chemistry, Organic</t>
  </si>
  <si>
    <t>491QL</t>
  </si>
  <si>
    <t>WOS:000172119800004</t>
  </si>
  <si>
    <t>Huhn, O; Roether, W; Beining, P; Rose, H</t>
  </si>
  <si>
    <t>Validity limits of carbon tetrachloride as an ocean tracer</t>
  </si>
  <si>
    <t>DEEP-SEA RESEARCH PART I-OCEANOGRAPHIC RESEARCH PAPERS</t>
  </si>
  <si>
    <t>transient tracer; carbon tetrachloride; CCl(4) depletion rates; environmental CCl(4) lifetime</t>
  </si>
  <si>
    <t>SOUTH-ATLANTIC OCEAN; NORTHWESTERN WEDDELL SEA; ANTARCTIC BOTTOM WATER; TRANSIENT-TRACER; NORTH-ATLANTIC; INTERMEDIATE WATER; ANOXIC SEAWATER; DEEP-WATER; CIRCULATION; PACIFIC</t>
  </si>
  <si>
    <t>We investigate non-conservative behavior of carbon tetrachloride (CCl(4)) in the ocean by evaluating concurrent data of this tracer and of the chlorofluorocarbon CFC-12 from three zonal sections in the South Atlantic( similar to 30 degreesS, 19 degreesS, 11 degreesS; METEOR cruises M22/5, M15/3, M28/1) and from two sections in the western Weddell Sea (POLARSTERN cruises ANT XIII/4, ANT XV/4). The issue is of interest biogeochemically and for uses of CCl(4) as a transient ocean tracer. For the South Atlantic a simple model is employed that simulates the meridional tracer transfer into the Central Water and Antarctic Intermediate Water from their southerly outcrops. From a joint fit for the three sections we deduce a CCl(4) depletion rate of approximately 22% per year for temperatures exceeding 13 degreesC, which confirms a previous estimate and exceeds rates due to hydrolysis by up to about 50-fold. A tracer utility of CCl(4) in warm ocean waters thus hardly exists. However, below similar to 13 degreesC the decomposition rates decrease sharply, and they become negligibly small below about 3 degreesC (rate &lt; 0.1% per year, compatible with rates due to hydrolysis). In the Weddell Sea we do not find positive evidence of a CCl(4) destruction at depth (upper limit 1% per year), in keeping with the South Atlantic result. In the western Weddell Sea deep waters we deduce a apparent CCl(4)/CFC-12 ratio age of about 30 years. We confirm a previous claim of a CCl(4) deficiency in newly formed Weddell Sea deep and bottom waters, which we deduce to amount to approximately 32% relative to CFC-12. We ascribe this deficiency to CCl(4) loss within the ventilated source waters (possibly due to interaction with sea or shelf ice), combined with a slower gas transfer from the atmosphere into the upper waters (contribution 12%). It is argued that CCl(4) deficiencies relative to more stable tracers should be common in newly formed deep and bottom waters, and that assessing such initial deficiencies is a prerequisite for using CCl(4) as a tracer. An open question is a CCl(4) instability at reduced oxygen concentrations, although the critical oxygen level appears to be lower than reported previously (Tanhua et al., Mar. Chem. 54 (1996) 159). Moreover, temperature might only be a proxy for the real agent that governs CCl(4) destruction. The actual mechanism of decomposition remains unknown, but judging from an Arrhenius plot a first-order chemical reaction can be excluded. It is estimated that the ocean contributes roughly 8% to the total environmental destruction of CCl(4). (C) 2001 Elsevier Science Ltd. All rights reserved.</t>
  </si>
  <si>
    <t>Univ Bremen, Inst Umweltphys, D-28334 Bremen, Germany; Inst Meereskunde, D-24105 Kiel, Germany</t>
  </si>
  <si>
    <t>University of Bremen</t>
  </si>
  <si>
    <t>Huhn, O (corresponding author), Univ Bremen, Inst Umweltphys, POB 330440, D-28334 Bremen, Germany.</t>
  </si>
  <si>
    <t>ohuhn@physik.uni-bremen.de</t>
  </si>
  <si>
    <t>Huhn, Oliver/0000-0003-3626-9135</t>
  </si>
  <si>
    <t>0967-0637</t>
  </si>
  <si>
    <t>DEEP-SEA RES PT I</t>
  </si>
  <si>
    <t>Deep-Sea Res. Part I-Oceanogr. Res. Pap.</t>
  </si>
  <si>
    <t>10.1016/S0967-0637(01)00004-8</t>
  </si>
  <si>
    <t>445MK</t>
  </si>
  <si>
    <t>WOS:000169461200003</t>
  </si>
  <si>
    <t>Gerhardt, S; Henrich, R</t>
  </si>
  <si>
    <t>Shell preservation of Limacina inflata (Pteropoda) in surface sediments from the Central and South Atlantic Ocean:: a new proxy to determine the aragonite saturation state of water masses</t>
  </si>
  <si>
    <t>pteropods; Limacina inflata; aragonite; carbonate dissolution; water masses; Atlantic Ocean; Caribbean Sea</t>
  </si>
  <si>
    <t>IN-SITU MEASUREMENTS; DEEP-SEA CARBONATE; CALCITE DISSOLUTION; ISOTOPE RECORDS; NICARAGUA RISE; NORWEGIAN SEA; SARGASSO SEA; CIRCULATION; PATTERNS; FORAMINIFERA</t>
  </si>
  <si>
    <t>Over 300 surface sediment samples from the Central and South Atlantic Ocean and the Caribbean Sea were investigated for the preservation state of the aragonitic test of Limacina inflata. Results are displayed in spatial distribution maps and are plotted against cross-sections of vertical water mass configurations, illustrating the relationship between preservation state, saturation state of the overlying waters, and overall water mass distribution. The microscopic investigation oft. inflata (adults) yielded the Limacina dissolution index (LDX), and revealed three regional dissolution patterns. In the western Atlantic Ocean, sedimentary preservation states correspond to saturation states in the overlying waters. Poor preservation is found within intermediate water masses of southern origin (i.e. Antarctic intermediate water (AAIW), upper circumpolar water (UCDW)), which are distinctly aragonite-corrosive, whereas good preservation is observed within the surface waters above and within the upper North Atlantic deep water (UNADW) beneath the AAIW. In the eastern Atlantic Ocean, in particular along the African continental margin, the LDX fails in most cases (i.e. less than 10 tests oft. inflata per sample were found). This is most probably due to extensive metabolic aragonite dissolution at the sediment-water interface combined with a reduced abundance of L. inflata in the surface waters. In the Caribbean Sea, a more complex preservation pattern is observed because of the interaction between different water masses, which invade the Caribbean basins through several channels, and varying input of bank-derived fine aragonite and magnesian calcite material. The solubility of aragonite increases with increasing pressure, but aragonite dissolution in the sediments does not simply increase with water depth. Worse preservation is found in intermediate water depths following an S-shaped curve. As a result, two aragonite lysoclines are observed, one above the other. In four depth transects, we show that the western Atlantic and Caribbean LDX records resemble surficial calcium carbonate data and delta C-13 and carbonate ion concentration profiles in the water column. Moreover, preservation oft. inflata within AAIW and UCDW improves significantly to the north, whereas carbonate corrosiveness diminishes due to increased mixing of AAIW and UNADW. The close relationship between LDX values and aragonite contents in the sediments shows much promise for the quantification of the aragonite loss under the influence of different water masses. LDX failure and uncertainties may be attributed to (1) aragonite dissolution due to bottom water corrosiveness, (2) aragonite dissolution due to additional CO2 release into the bottom water by the degradation of organic matter based on an enhanced supply of organic matter into the sediment, (3) variations in the distribution of L. inflata and hence a lack of supply into the sediment, (4) dilution of the sediments and hence a lack of tests of L. inflata, or (5) redeposition of sediment particles. (C) 2001 Elsevier Science Ltd. All rights reserved.</t>
  </si>
  <si>
    <t>Univ Bremen, Dept Geosci, D-28334 Bremen, Germany</t>
  </si>
  <si>
    <t>Gerhardt, S (corresponding author), Univ Bremen, Dept Geosci, POB 330440, D-28334 Bremen, Germany.</t>
  </si>
  <si>
    <t>10.1016/S0967-0637(01)00005-X</t>
  </si>
  <si>
    <t>WOS:000169461200004</t>
  </si>
  <si>
    <t>Sun, LG; Xie, ZQ</t>
  </si>
  <si>
    <t>Changes in lead concentration in Antarctic penguin droppings during the past 3,000 years</t>
  </si>
  <si>
    <t>ENVIRONMENTAL GEOLOGY</t>
  </si>
  <si>
    <t>Antarctica; lead; penguin droppings; environmental pollution</t>
  </si>
  <si>
    <t>SEDIMENTS; SOILS</t>
  </si>
  <si>
    <t>Anthropogenic lead (Pb) has been found in Antarctic seawater, surface snow and ice-cores. Here, we analyzed a 3,000-year record of lead concentration in lake sediments affected by penguin droppings. We found that lead concentration in penguin droppings has significantly increased during the last 200 years, especially in the last 50 years, as compared to low and stable lead levels prior to the Industrial Revolution. This clearly indicates that global environmental pollution has influenced the Antarctic ecological system. Heavy metal (Pb) may find its way into the food web, bioaccumulate, and be passed along the chain to penguins.</t>
  </si>
  <si>
    <t>Univ Sci &amp; Technol China, Inst Polar Environm, Hefei 230026, Anhui, Peoples R China</t>
  </si>
  <si>
    <t>Chinese Academy of Sciences; University of Science &amp; Technology of China, CAS</t>
  </si>
  <si>
    <t>Sun, LG (corresponding author), Univ Sci &amp; Technol China, Inst Polar Environm, Hefei 230026, Anhui, Peoples R China.</t>
  </si>
  <si>
    <t>xie, zhouqing/P-9661-2019</t>
  </si>
  <si>
    <t>0943-0105</t>
  </si>
  <si>
    <t>ENVIRON GEOL</t>
  </si>
  <si>
    <t>Environ. Geol.</t>
  </si>
  <si>
    <t>10.1007/s002540100346</t>
  </si>
  <si>
    <t>Environmental Sciences; Geosciences, Multidisciplinary; Water Resources</t>
  </si>
  <si>
    <t>Environmental Sciences &amp; Ecology; Geology; Water Resources</t>
  </si>
  <si>
    <t>476ZU</t>
  </si>
  <si>
    <t>WOS:000171259300004</t>
  </si>
  <si>
    <t>Liess, M; Champeau, O; Riddle, M; Schulz, R; Duquesne, S</t>
  </si>
  <si>
    <t>Combined effects of ultraviolet-B radiation and food shortage on the sensitivity of the Antarctic amphipod Paramoera walkeri to copper</t>
  </si>
  <si>
    <t>ENVIRONMENTAL TOXICOLOGY AND CHEMISTRY</t>
  </si>
  <si>
    <t>environmental stressors; ultraviolet-B; food shortage; toxicity; polar crustacea</t>
  </si>
  <si>
    <t>GAMMARUS-PULEX; ACUTE TOXICITY; PESTICIDE; IMPACT; GROWTH</t>
  </si>
  <si>
    <t>Investigations on the combined effects of ultraviolet (UV)-B radiation and anthropogenic toxicants have focused primarily on the chemical interactions between UV-B and organic compounds. Only a few studies have examined whether exposure to UV-B changes sensitivity to toxicants. This question is addressed in a laboratory study using the common shoreline Antarctic amphipod Paramoera walkeri and exposure to environmentally realistic levels of copper, UV-B radiation, and food shortage. Exposure to copper for 21 d in the absence of any additional stressors (food present, no UV-B) showed a lowest observable effective concentration (LOEC) of greater than 100 mug Cu/L. Exposure to copper and UV-B in combination, with no shortage of food, resulted in a LOEC of 45 mug Cu/L. When exposed to copper and UV-B, with shortage of food, a LOEC of 3 mug Cu/L was recorded. Hence, the combination of environmental stress from exposure to UV-B radiation and shortage of food increases the sensitivity of P. walkeri to copper more than 30-fold. Increased metabolic energy requirements for defense mechanisms in response to toxicants and UVB are discussed as possible explanations. It is concluded that consideration of environmental stressors in combination with toxicants increases the accuracy of ecological risk assessments of toxicants and should be part of the process for developing guidelines for ecologically acceptable concentrations of contaminants in the environment.</t>
  </si>
  <si>
    <t>UFZ Helmholtz Ctr Environm Res, Dept Chem Ecotoxicol, D-04318 Leipzig, Germany; Univ Bordeaux 1, Toxicol Alimentaire, F-33405 Talence, France; Australian Antarctic Div, Human Impacts Res Program, Kingston, Tas 7050, Australia; Tech Univ Braunschweig, Inst Zool, D-38092 Braunschweig, Germany; Univ Queensland, Natl Res Ctr Environm Toxicol, Coopers Plains, Qld 4108, Australia</t>
  </si>
  <si>
    <t>Helmholtz Association; Helmholtz Center for Environmental Research (UFZ); Universite de Bordeaux; Australian Antarctic Division; Braunschweig University of Technology; University of Queensland</t>
  </si>
  <si>
    <t>UFZ Helmholtz Ctr Environm Res, Dept Chem Ecotoxicol, Permoserstr 15, D-04318 Leipzig, Germany.</t>
  </si>
  <si>
    <t>ml@uoe.ufz.de</t>
  </si>
  <si>
    <t>Liess, Matthias/A-8582-2009; Schulz, Ralf/ABI-4526-2020; Duquesne, Sabine/H-5575-2011; Schulz, Ralf/G-3674-2011</t>
  </si>
  <si>
    <t>Liess, Matthias/0000-0002-3321-8909; Schulz, Ralf/0000-0002-6348-6971; Duquesne, Sabine/0000-0001-9874-8540; Champeau, Olivier/0000-0002-1892-678X</t>
  </si>
  <si>
    <t>0730-7268</t>
  </si>
  <si>
    <t>1552-8618</t>
  </si>
  <si>
    <t>ENVIRON TOXICOL CHEM</t>
  </si>
  <si>
    <t>Environ. Toxicol. Chem.</t>
  </si>
  <si>
    <t>10.1002/etc.5620200931</t>
  </si>
  <si>
    <t>Environmental Sciences; Toxicology</t>
  </si>
  <si>
    <t>Environmental Sciences &amp; Ecology; Toxicology</t>
  </si>
  <si>
    <t>465RF</t>
  </si>
  <si>
    <t>WOS:000170603200031</t>
  </si>
  <si>
    <t>Laybourn-Parry, J; Quayle, WC; Henshaw, T; Ruddell, A; Marchant, HJ</t>
  </si>
  <si>
    <t>Life on the edge: the plankton and chemistry of Beaver Lake, an ultra-oligotrophic epishelf lake, Antarctica</t>
  </si>
  <si>
    <t>FRESHWATER BIOLOGY</t>
  </si>
  <si>
    <t>SOUTHERN VICTORIA LAND; LOCH-NESS; BACTERIOPLANKTON; PHYTOPLANKTON; DYNAMICS; CARBON; PHOSPHORUS; SEAWATER; BIOMASS; WATERS</t>
  </si>
  <si>
    <t>1. Beaver Lake, a large epishelf lake in eastern Antarctica was sampled on two occasions during the austral summer of 2000. Two sites, one 1 km offshore and another 6 km offshore were sampled at intervals to depths of 40 and 110 m, respectively. 2. The lake is an end member of ultra-oligotrophic lake systems with a very low carbon pool. Dissolved organic carbon concentrations ranged between 95 and 652 mug L-1. Nutrient levels were generally low with soluble reactive phosphorus ranging from undetectable to 8.4 mug L-1, ammonium ranged between 1.8 and 5.0 mug L-1, nitrate from undetectable to 161 mug L-1 and nitrite 1.1-5.3 mug L-1. 3. Chlorophyll a concentrations (0.39-4.38 mug L-1) showed an unusual distribution with the highest levels close to the lake bottom at the offshore site (110 m) where the phototrophic nanoflagellates (PNAN) displayed strong autofluorescence. 4. Bacterial concentrations were low, with a maximum of 7.60 x 10(7) L-1, as were the concentrations of heterotrophic nanoflagellates that exploit them. 5. Primary production ranged between 19.7 and 25.49 mug C L-1 day(-1) and bacterial production from 0.32 to 1.15 mug C L-1 day(-1). 6. In common with other continental Antarctic lakes, the system was dominated by a microbial plankton. However, a dwarf variety of the calanoid copepod, Boeckella poppei, occurred below 25 m at concentrations of 3-5 L-1. 7. The data suggest that primary production and bacterial production were not limited by nutrient availability, but by other factors, e.g. in the case of bacterial production by organic carbon concentrations and primary production by low temperatures.</t>
  </si>
  <si>
    <t>Univ Nottingham, Inst Environm Sci, Nottingham NG7 2RD, England; British Antarctic Survey, Cambridge CB3 0ET, England; Univ Tasmania, Antarctic Cooperat Res Ctr, Hobart, Tas, Australia; Australian Antarctic Div, Kingston, Tas, Australia</t>
  </si>
  <si>
    <t>University of Nottingham; UK Research &amp; Innovation (UKRI); Natural Environment Research Council (NERC); NERC British Antarctic Survey; University of Tasmania; Australian Antarctic Division</t>
  </si>
  <si>
    <t>Laybourn-Parry, J (corresponding author), Univ Nottingham, Inst Environm Sci, Univ Pk, Nottingham NG7 2RD, England.</t>
  </si>
  <si>
    <t>QUAYLE, WENDY C/Q-3719-2016; QUAYLE, Wendy/D-4634-2011</t>
  </si>
  <si>
    <t>QUAYLE, WENDY C/0000-0003-0622-1915;</t>
  </si>
  <si>
    <t>0046-5070</t>
  </si>
  <si>
    <t>FRESHWATER BIOL</t>
  </si>
  <si>
    <t>Freshw. Biol.</t>
  </si>
  <si>
    <t>10.1046/j.1365-2427.2001.00741.x</t>
  </si>
  <si>
    <t>477LK</t>
  </si>
  <si>
    <t>WOS:000171284900005</t>
  </si>
  <si>
    <t>Laybourn-Parry, J; Hofer, JS; Sommaruga, R</t>
  </si>
  <si>
    <t>Viruses in the plankton of freshwater and saline Antarctic lakes</t>
  </si>
  <si>
    <t>Antarctic; heterotrophic bacteria; oligotrophic lakes; microbial loop; virus-like particles</t>
  </si>
  <si>
    <t>VIRAL LYSIS; ABUNDANCE; PARTICLES; MARINE; COMMUNITIES; BACTERIVORY; MORTALITY; OCCUR</t>
  </si>
  <si>
    <t>1. Virus-like particle (VLP) abundances in nine freshwater to saline lakes in the Vestfold Hills, Eastern Antarctica (68 degrees S) were determined in December 1999. In the ultra-oligotrophic to oligotrophic freshwater lakes, VLP abundances ranged from 1.01 to 3.28 x 10(6) mL(-1) in the top 6 m of the water column. In the saline lakes the range was between 6.76 and 36.5 x 10(6) mL(-1). The lowest value was found in meromictic Ace Lake and the highest value in hypersaline Lake Williams. Virus to bacteria ratios (VBR) were lowest in the freshwater lakes and highest in the saline lakes, with a maximum of 23.4 in the former and 50.3 in the latter. 2. A range of morphologies among VLP was observed, including phages with short (Podoviridae) and long tails, icosahedric viruses of up to 300 nm and star-like particles of about 80 nm diameter. 3. In these microbially dominated ecosystems there was no correlation between VLP and either bacterial numbers or chlorophyll a. There was a significant correlation between VLP abundances and dissolved organic carbon concentration (r = 0.845, P &lt; 0.01). 4. The data suggested that viruses probably attack a spectrum of bacteria and protozoan species. Virus-like particle numbers in the freshwater lakes were lower than values reported for lower latitude systems. Those in the saline takes were comparable with abundances reported from other Antarctic lakes, and were higher than most values published for lower latitude lakes and many marine systems. Across the salinity spectrum from freshwater through brackish to hypersaline, VLP concentrations increased roughly in relation to increasing trophy. 5. Given that Antarctic lakes have a plankton almost entirely made up of bacteria and protists, and that VLP abundances are high, it is likely that viruses play a pivotal role in carbon cycling in these extreme ecosystems.</t>
  </si>
  <si>
    <t>Univ Nottingham, Inst Environm Sci, Nottingham NG7 2RD, England; Univ Innsbruck, Inst Zool &amp; Limnol, A-6020 Innsbruck, Austria</t>
  </si>
  <si>
    <t>University of Nottingham; University of Innsbruck</t>
  </si>
  <si>
    <t>Univ Nottingham, Inst Environm Sci, Univ Pk, Nottingham NG7 2RD, England.</t>
  </si>
  <si>
    <t>j.laybourn-parry@nottingham.ac.uk</t>
  </si>
  <si>
    <t>1365-2427</t>
  </si>
  <si>
    <t>10.1046/j.1365-2427.2001.00749.x</t>
  </si>
  <si>
    <t>WOS:000171284900011</t>
  </si>
  <si>
    <t>Bishop, JL; Lougear, A; Newton, J; Doran, PT; Froeschl, H; Trautwein, AX; Körner, W; Koeberl, C</t>
  </si>
  <si>
    <t>mineralogical and geochemical analyses of Antarctic lake sediments:: A study of reflectance and Mossbauer spectroscopy and C, N, and S isotopes with applications for remote sensing on Mars</t>
  </si>
  <si>
    <t>GEOCHIMICA ET COSMOCHIMICA ACTA</t>
  </si>
  <si>
    <t>DEEP-SEA SEDIMENTS; THERMAL EMISSION-SPECTRA; MCMURDO DRY VALLEYS; SULFATE REDUCTION; MASS-SPECTROMETER; OPTICAL-CONSTANTS; RESIDENCE TIMES; ICE; CARBON; SULFUR</t>
  </si>
  <si>
    <t>We analyzed lake-bottom sediments from the Dry Valleys region of Antarctica to study the influence of water chemistry on the mineralogy and geochemistry of these sediments, as well as to evaluate techniques for remote spectral identification of potential biomarker minerals on Mars. Lakes from the Dry Valleys region of Antarctica have been investigated as possible analogs for extinct lake environments on early Mars. Sediment cores were collected in the present study from perennially ice-covered Lake Hoare in the Taylor Valley. These sediments were taken from a core in an oxic region of the lake and another core in an anoxic zone. Differences between the two cores were observed in the sediment color, Fe(II)/Fe(III) ratio, the presence of pyrite, the abundance of Fe, S, and some trace elements, and the C, N, and S isotope fractionation patterns. The results of visible-infrared reflectance spectroscopy (0.3-25 mum), Mossbauer spectroscopy (77 and 4 K), and X-ray diffraction are combined to determine the mineralogy and composition of these samples. The sediments are dominated by plagioclase, K-feldspar, quartz, and pyroxene. Algal mats grow on the bottom of the lake and organic material has been found throughout the cores. Calcite is abundant in some layers of the sediment core from the shallow, oxic region, and pyrite is abundant in the upper sediment layers of the core from the deep, anoxic region of Lake Hoare. Analysis of the spectroscopic features due to organics and carbonates with respect to the abundance of organic C and carbonate contents was performed in order to select optimal spectral bands for remote identification of these components in planetary regoliths. Carbonate bands near 4 and 6.8 mum (similar to 2500 and 1500 cm(-1)) were detected for carbonate abundances as low as 0.1 Wt% CO2. Organic features at 3.38, 3.42, and 3.51 mum (2960, 2925, and 2850 cm(-1)) were detected for organic C abundances as low as 0.06 wt% C. The delta C-3 and delta N-15 trends show a more complex organic history for the anoxic region sediments than for the oxic region sediments. The biogenic pyrite found in the core from the anoxic zone is associated with depleted delta S-34 values and high organic C levels and could be used as a potential biomarker mineral for paleolakes on Mars. Copyright (C) 2001 Elsevier Science Ltd.</t>
  </si>
  <si>
    <t>NASA, Ames Res Ctr, SETI Inst, Moffett Field, CA 94035 USA; Med Univ Lubeck, Inst Phys, D-23538 Lubeck, Germany; Univ Calif Santa Cruz, Santa Cruz, CA 95064 USA; Univ Illinois, Chicago, IL 60607 USA; Austrian Res Ctr Seibersdorf, A-1030 Vienna, Austria; Univ Vienna, Inst Geochem, A-1090 Vienna, Austria</t>
  </si>
  <si>
    <t>National Aeronautics &amp; Space Administration (NASA); NASA Ames Research Center; University of Lubeck; University of California System; University of California Santa Cruz; University of Illinois System; University of Illinois Chicago; University of Illinois Chicago Hospital; Austrian Institute of Technology (AIT); University of Vienna</t>
  </si>
  <si>
    <t>Bishop, JL (corresponding author), NASA, Ames Res Ctr, SETI Inst, MS-239-4, Moffett Field, CA 94035 USA.</t>
  </si>
  <si>
    <t>Newton, Jason/A-9536-2009</t>
  </si>
  <si>
    <t>Newton, Jason/0000-0001-7594-3693; Koeberl, Christian/0000-0001-5155-7405; Bishop, Janice/0000-0002-6681-9954</t>
  </si>
  <si>
    <t>0016-7037</t>
  </si>
  <si>
    <t>GEOCHIM COSMOCHIM AC</t>
  </si>
  <si>
    <t>Geochim. Cosmochim. Acta</t>
  </si>
  <si>
    <t>10.1016/S0016-7037(01)00651-2</t>
  </si>
  <si>
    <t>472HK</t>
  </si>
  <si>
    <t>WOS:000170977900006</t>
  </si>
  <si>
    <t>Falcon-Lang, HJ; Kvacek, J; Ulicny, D</t>
  </si>
  <si>
    <t>Fire-prone plant communities and palaeoclimate of a Late Cretaceous fluvial to estuarine environment, Pecinov quarry, Czech Republic</t>
  </si>
  <si>
    <t>GEOLOGICAL MAGAZINE</t>
  </si>
  <si>
    <t>EASTERN NORTH-AMERICA; ANGIOSPERM WOOD; GROWTH RINGS; CHARCOAL; ECOLOGY; FLOODPLAIN; CLIMATE</t>
  </si>
  <si>
    <t>The botanical identity and facies distribution of fossil charcoal is described from Middle to Late Cenomanian (90-94 Ma) fluvial to estuarine units at Pecinov quarry, near Prague, Czech Republic. Braided alluvial facies associations contain charred conifer woods (family Pinaceae) possibly derived from upland forest fires, and abundant charred angiosperm woods, flowers and inflorescences (families Lauraceae and ?Platanaceae) derived from riparian gallery forest fires (Unit 2). Retrogradational coastal salt marsh facies associations contain abundant charred conifer wood (families Cheirolepidiaceae and Cupressaceae/Taxodiaceae) derived from fires in halophytic backswamp forest, and rare pinaceous charred cones and lauraceous angiosperm wood washed downstream from fires further inland (Units 3-4). Progradational coastal facies associations within an estuary mouth setting contain abundant charred conifer wood (family Cup ressaceae/Taxodiaceae), common taxodiaceous conifer and angiosperm leaves, fern rachises, and lycopsid stems derived from fires in mesic backswamp taxodiaceous forests and supra-tidal fern-lycopsid thickets (Unit 5). Growth rings in angiosperm and conifer woods, leaf physiognomy and computer models indicate that climate was equable, warm and humid, but that there was a short annual dry season; most fires probably occurred during these annual drought periods. The abundance of charcoal and the diversity of taxa preserved in this state indicate that nearly all plant communities were fire-prone. Physiognomically, the Pecinov flora resembles present-day seasonally-dry subtropical forests where fires are a common occurrence.</t>
  </si>
  <si>
    <t>British Antarctic Survey, Cambridge CB3 0ET, England; Natl Museum, Dept Palaeontol, Prague 11579 1, Czech Republic; Acad Sci Czech Republ, Inst Geophys, CR-14131 Prague 4, Czech Republic</t>
  </si>
  <si>
    <t>UK Research &amp; Innovation (UKRI); Natural Environment Research Council (NERC); NERC British Antarctic Survey; National Museum; Czech Academy of Sciences; Institute of Geophysics of the Czech Academy of Sciences</t>
  </si>
  <si>
    <t>Dalhousie Univ, Dept Earth Sci, Halifax, NS B3H 3J5, Canada.</t>
  </si>
  <si>
    <t>hfalconl@is.dal.ca</t>
  </si>
  <si>
    <t>Falcon-Lang, Howard J/D-8465-2011; Uličný, David/H-6412-2014</t>
  </si>
  <si>
    <t>Ulicny, David/0000-0002-0331-4174</t>
  </si>
  <si>
    <t>0016-7568</t>
  </si>
  <si>
    <t>1469-5081</t>
  </si>
  <si>
    <t>GEOL MAG</t>
  </si>
  <si>
    <t>Geol. Mag.</t>
  </si>
  <si>
    <t>10.1017/S0016756801005714</t>
  </si>
  <si>
    <t>499YU</t>
  </si>
  <si>
    <t>WOS:000172599200003</t>
  </si>
  <si>
    <t>Pudsey, CJ; Evans, J</t>
  </si>
  <si>
    <t>First survey of Antarctic sub-ice shelf sediments reveals mid-Holocene ice shelf retreat</t>
  </si>
  <si>
    <t>Antarctic; Holocene; ice-rafted debris; ice shelves</t>
  </si>
  <si>
    <t>JAMES-ROSS-ISLAND; GLACIAL HISTORY; CONTINENTAL-SHELF; LATE PLEISTOCENE; PENINSULA; COLLAPSE; CLIMATE; FACIES</t>
  </si>
  <si>
    <t>The retreat of five small Antarctic Peninsula ice shelves in the late 20th century has been related to regional (possibly anthropogenic) climate warming. We use the record of ice-rafted debris (IRD) in cores to show that the Prince Gustav Channel ice shelf also retreated in mid-Holocene time. Early and late Holocene-age sediments contain IRD derived entirely from local ice drainage basins, which fed the section of ice shelf covering each site. Core-top and mid-Holocene (5-2 ka) sediments include a wider variety of rock types, recording the drift of far-traveled icebergs, which implies seasonally open water at the sites. The period when the Prince Gustav ice shelf was absent corresponds to regional climate warming deduced from other paleoenvironmental records. We infer that the recent decay cannot be viewed as an unequivocal indicator of anthropogenic climate perturbation.</t>
  </si>
  <si>
    <t>Pudsey, CJ (corresponding author), British Antarctic Survey, High Cross,Madingley Rd, Cambridge CB3 0ET, England.</t>
  </si>
  <si>
    <t>GEOLOGICAL SOC AMERICA, INC</t>
  </si>
  <si>
    <t>10.1130/0091-7613(2001)029&lt;0787:FSOASI&gt;2.0.CO;2</t>
  </si>
  <si>
    <t>470GR</t>
  </si>
  <si>
    <t>WOS:000170863000007</t>
  </si>
  <si>
    <t>Danilov, AD; Smirnova, NV; Vanina, LB; Blix, TA; Thrane, EV</t>
  </si>
  <si>
    <t>Electron density variations in the upper D region at high latitudes according to in situ measurements</t>
  </si>
  <si>
    <t>GEOMAGNETISM AND AERONOMY</t>
  </si>
  <si>
    <t>MESOSPHERE; MODEL</t>
  </si>
  <si>
    <t>A large set of rocket measurements of the electron concentration [e] in the upper D region at four rocket sites (Molodezhnaya (Antarctic), Heiss Island (Arctic), Syowa (Antarctic), and Andoya/Kiruna (Arctic)) is considered. The dependence of [e] on the solar zenith angle chi and geomagnetic activity index Sigma Kp is analyzed. It has been shown that, the spread in [e] values reaches two orders of magnitude at any assigned value of chi. Nevertheless, it is possible to draw a lower envelope for the entire set of points and to obtain the [e] variation with chi in undisturbed conditions. In an analysis of the envelopes, it is seen that a corpuscular ionization source (presumably, electrons with an energy of above 40 keV) exists in the nonsunlit D region even in quiet conditions. An analysis of the electron concentration dependence on the daily sum of Sigma Kp indices (Sigma Kp) shows that, at all heights considered, increases [e] with increasing Sigma Kp to a certain boundary value Sigma Kp and then remains either constant (with a rather wide spread in the data) or even decreases. This saturation effect may be caused by the auroral oval equatorward motion. As a result of this motion the site position may change: it may move toward the boundary between the auroral oval and polar cap or even be within the latter. The slope k of the [e] variation plotted versus Sigma Kp at different chi is considered. It is shown that k grows with increasing chi and is maximal at chi &gt; 100 degrees.</t>
  </si>
  <si>
    <t>Moscow Appl Geophys Inst, Moscow 129128, Russia; Russian Acad Sci, Inst Geosphere Dynam, Moscow 117334, Russia; Norwegian Def Res Estab, N-2007 Kjeller, Norway</t>
  </si>
  <si>
    <t>Russian Academy of Sciences; Sadovsky Institute of Geosphere Dynamics of the Russian Academy of Sciences; Norwegian Defence Research Establishment</t>
  </si>
  <si>
    <t>Danilov, AD (corresponding author), Moscow Appl Geophys Inst, Rostokinskaya Ul 9, Moscow 129128, Russia.</t>
  </si>
  <si>
    <t>Danilov, Alexey/ABH-7887-2020</t>
  </si>
  <si>
    <t>Vanina-Dart, Liudmila/0000-0002-7699-027X</t>
  </si>
  <si>
    <t>INTERPERIODICA</t>
  </si>
  <si>
    <t>BIRMINGHAM</t>
  </si>
  <si>
    <t>PO BOX 1831, BIRMINGHAM, AL 35201-1831 USA</t>
  </si>
  <si>
    <t>0016-7932</t>
  </si>
  <si>
    <t>GEOMAGN AERONOMY+</t>
  </si>
  <si>
    <t>Geomagn. Aeron.</t>
  </si>
  <si>
    <t>486RJ</t>
  </si>
  <si>
    <t>WOS:000171830500013</t>
  </si>
  <si>
    <t>Venegas, SA; Drinkwater, MR; Shaffer, G</t>
  </si>
  <si>
    <t>Coupled oscillations in Antarctic sea ice and atmosphere in the South Pacific sector</t>
  </si>
  <si>
    <t>CIRCUMPOLAR WAVE; TELECONNECTIONS; CIRCULATION; ENSO</t>
  </si>
  <si>
    <t>Interannual oscillations with period of about 3-6 years have dominated the winter atmospheric and ice variability in the Ross, Amundsen, and Bellingshausen Seas, Antarctica, during 1979-1998. Anomalies in sea ice concentration and drift propagate eastward in the winter ice pack, coupled to sea level pressure anomalies. This signal accounts for the ice and atmospheric components of the Antarctic Circumpolar Wave during its eastward passage through the Pacific sector of Antarctica. Sea ice concentration anomalies at the ice margin seem to result from air-ice-sea interactions which involve both the dynamic effect of the anomalous, wind-driven ice motion, and the thermodynamic ice growth and melting due to surface air and ocean temperature anomalies.</t>
  </si>
  <si>
    <t>Univ Copenhagen, Niels Bohr Inst Astron Phys &amp; Geophys, Danish Ctr Earth Syst Sci, DK-2100 Copenhagen, Denmark; European Space Agcy, Estec, FSO, EEM,Oceans Ice Unit, NL-2200 AG Noordwijk, Netherlands</t>
  </si>
  <si>
    <t>University of Copenhagen; Niels Bohr Institute; European Space Agency</t>
  </si>
  <si>
    <t>Venegas, SA (corresponding author), Univ Copenhagen, Niels Bohr Inst Astron Phys &amp; Geophys, Danish Ctr Earth Syst Sci, Juliane Maries Vej 30, DK-2100 Copenhagen, Denmark.</t>
  </si>
  <si>
    <t>Shaffer, Gary/G-1742-2016; Drinkwater, Mark/C-2478-2011</t>
  </si>
  <si>
    <t>Shaffer, Gary/0000-0002-2494-3471; Drinkwater, Mark/0000-0002-9250-3806</t>
  </si>
  <si>
    <t>10.1029/2001GL012991</t>
  </si>
  <si>
    <t>467JM</t>
  </si>
  <si>
    <t>WOS:000170698700023</t>
  </si>
  <si>
    <t>Nozaki, Y; Yamamoto, Y</t>
  </si>
  <si>
    <t>Radium 228 based nitrate fluxes in the eastern Indian Ocean and the South China Sea and a silicon-induced alkalinity pump hypothesis</t>
  </si>
  <si>
    <t>GLOBAL BIOGEOCHEMICAL CYCLES</t>
  </si>
  <si>
    <t>ANTARCTIC ICE CORE; ATMOSPHERIC CO2; EQUATORIAL PACIFIC; SURFACE WATERS; NORTH PACIFIC; SARGASSO SEA; DEEP-SEA; NUTRIENT; ISOTOPES; RA-226</t>
  </si>
  <si>
    <t>The activities of Ra-228 and Ra-226 in the seawaters of the eastern Indian Ocean and its adjacent seas were measured during the 1996/1997 Piscis Austrinus Expedition using R/V Hakuho-Maru. The surface Ra data are in good agreement with those in literature and indicate that the continental shelves of the southeast Asian Seas are strong sources for Ra-228 and, to much lesser extent, for Ra-226 which are largely transported by the surface currents into the Indian Ocean. The vertical profiles of Ra-228 obtained at six stations from the different oceanic regimes along the cruise track generally showed an almost exponential decrease from the surface to the middepths of 1200-1500 in. Coupling the vertical profiles of Ra-228 and nitrate and using the vertical one-dimensional model developed by Ku et al. [1995], we estimated the nitrate fluxes into the euphotic zone ranging from 1.5 mmol N m(-2) d(-1) (or 0.55 Mol m(-2) yr(-1)) in Andaman Sea to 4.0 mmol N m(-2) d(-1) (1.5 Mol m(-2) yr(-1)) in the Southern Ocean. In steady state, these nitrate fluxes correspond to the new production of 11-26 mmol C m(-2) d(-1) (or 3.9-9.6 Mol C m(-2) yr-1). In the sub-Antarctic region between 30 degrees and 40 degreesS, north of the polar front, dissolved Si is depleted relative to nitrate in the upper water column as compared to their similar to1:1 molar ratio demanded by diatoms. In such high-nitrate but low-silicate regions, growth of diatoms is likely to be limited by available silicate. It also favors calcareous coccoliths to grow by utilization of nitrate, as deduced from a decrease in alkalinity in the surface waters. During the last glacial period, supply of atmospheric dust containing silicon and iron to the surface ocean was much more intense than that during the interglacial period, and hence, diatom production might have been enhanced in the Si-depleted regions. Diatoms would utilize nitrate readily and inhibit growth of coccoliths, resulting in increases in alkalinity and pH in the surface water. This species change of phytoplankton may account for the lowered atmospheric CO2 level during the glacial period without causing a large-scale depletion of dissolved oxygen in the deep sea. The records of opal and carbonate contents in the Antarctic sediment cores studied by Charles et al. [1991] seem to be consistent with this silicon-induced alkalinity pump hypothesis.</t>
  </si>
  <si>
    <t>Univ Tokyo, Ocean Res Inst, Marine Inorgan Chem Div, Nakano Ku, Tokyo 164, Japan</t>
  </si>
  <si>
    <t>University of Tokyo</t>
  </si>
  <si>
    <t>Nozaki, Y (corresponding author), Univ Tokyo, Ocean Res Inst, Marine Inorgan Chem Div, Nakano Ku, 1-15-1 Minamidai, Tokyo 164, Japan.</t>
  </si>
  <si>
    <t>0886-6236</t>
  </si>
  <si>
    <t>GLOBAL BIOGEOCHEM CY</t>
  </si>
  <si>
    <t>Glob. Biogeochem. Cycle</t>
  </si>
  <si>
    <t>10.1029/2000GB001309</t>
  </si>
  <si>
    <t>Environmental Sciences; Geosciences, Multidisciplinary; Meteorology &amp; Atmospheric Sciences</t>
  </si>
  <si>
    <t>Environmental Sciences &amp; Ecology; Geology; Meteorology &amp; Atmospheric Sciences</t>
  </si>
  <si>
    <t>468WJ</t>
  </si>
  <si>
    <t>WOS:000170780900002</t>
  </si>
  <si>
    <t>McNeil, BI; Matear, RJ; Tilbrook, B</t>
  </si>
  <si>
    <t>Does carbon 13 track anthropogenic CO2 in the Southern Ocean?</t>
  </si>
  <si>
    <t>ATMOSPHERIC CO2; SURFACE OCEANS; INDIAN-OCEAN; C-13; DELTA-C-13; EXCHANGE; PACIFIC; SIGMA-CO2; DIOXIDE; WATERS</t>
  </si>
  <si>
    <t>A multiparametric linear regression technique was used for waters in the Southern Ocean to estimate the change in both delta (13) C-DIC (Delta delta C-13(DIC)) dissolved inorganic carbon (DIC) (Delta DIC) between 1978 and 1998, due to the accumulation of anthropogenic CO2. The observed decrease in delta C-13(DIC) at the surface, the Suess effect, was -0.015 +/- 0.003 parts per thousand yr(-1) in the Sub-Antarctic Zone and -0.005 +/- 0.003 parts per thousand yr(-1) in the Antarctic Zone, similar to values reported for the southern Indian Ocean [Gruber et al, 1999; Sonnerup et al., 2000]. To compare the Delta delta C-13(DIC) with Delta DIC, we used the ratio of these two anomalies (Delta RC = -Delta delta C-13(DIC)/Delta DIC parts per thousand (mu mol kg(-1))(-1)). Along the section, Delta RC ranged from 0.015 +/- 0.005 at 42 degreesS to 0.007 +/- 0.005 parts per thousand (mu mol kg(-1))(-l) at 54 degreesS. The spatial variability in Delta RC in the Southern Ocean reflects different timescales for processes controlling the uptake of C-13 from those controlling the uptake of C-12 and indicates that Delta delta C-13(DIC) decouples from Delta DIC poleward of the Sub-Antarctic Zone. The variations of Delta RC along the section suggest that the delta C-13(DIC) anomaly is not a good predictor of the anthropogenic CO(2)inventory in the Southern Ocean. Some methods for determining anthropogenic. CO2 uptake both on the global and regional scale assume the penetration depths of Delta delta C-13(DIC) to be the same as Delta DIC, which implies a constant value for Delta RC in the ocean at similar to0.016 parts per thousand (mu mol kg(-1))(-1) [Heimann and Maier-Reimer, 1996; Ortiz et al, 2000; Bauch et al, 2000]. The use of a constant Delta RC and the observed Delta delta C-13(DIC) to estimate anthropogenic CO2 could lead to an underestimate in the inventory of anthropogenic CO2 for the Southern Ocean by similar to 50%.</t>
  </si>
  <si>
    <t>Univ Tasmania, Antarctic Cooperat Res Ctr, Hobart, Tas 7001, Australia; Univ Tasmania, Inst Antarctic &amp; So Ocean Studies, Hobart, Tas 7001, Australia; CSIRO, Div Marine Res, Hobart, Tas 7001, Australia</t>
  </si>
  <si>
    <t>University of Tasmania; University of Tasmania; Commonwealth Scientific &amp; Industrial Research Organisation (CSIRO)</t>
  </si>
  <si>
    <t>McNeil, BI (corresponding author), Princeton Univ, Atmospher &amp; Ocean Sci Program, Princeton, NJ 08544 USA.</t>
  </si>
  <si>
    <t>Tilbrook, Bronte/W-4007-2019; matear, richard/C-5133-2011</t>
  </si>
  <si>
    <t>Tilbrook, Bronte/0000-0001-9385-3827; matear, richard/0000-0002-3225-0800; McNeil, Ben/0000-0001-5765-7087</t>
  </si>
  <si>
    <t>1944-9224</t>
  </si>
  <si>
    <t>10.1029/2000GB001352</t>
  </si>
  <si>
    <t>WOS:000170780900006</t>
  </si>
  <si>
    <t>Suzuki, M; Nakagawa, Y; Harayama, S; Yamamoto, S</t>
  </si>
  <si>
    <t>Phylogenetic analysis and taxonomic study of marine Cytophaga-like bacteria:: proposal for Tenacibaculum gen. nov with Tenacibaculum maritimum comb. nov and Tenacibaculum ovolyticum comb. nov., and description of Tenacibaculum mesophilum sp nov and Tenacibaculum amylolyticum sp nov.</t>
  </si>
  <si>
    <t>Cytophaga-Flavobacterium-Bacteroides complex; gyrB; 16S rDNA; taxonomy; Tenacibaculum gen. nov.</t>
  </si>
  <si>
    <t>POLYMERASE CHAIN-REACTION; AMINO-ACID-SEQUENCES; ANTARCTIC SEA-ICE; RIBOSOMAL-RNA; PSYCHROPHILIC BACTERIA; NUCLEOTIDE-SEQUENCES; EMENDED DESCRIPTION; GYRB GENES; FLAVOBACTERIUM; FLEXIBACTER</t>
  </si>
  <si>
    <t>Bacterial strains were isolated from sponge and green algae which were collected on the coast of Japan and Palau. The phylogenetic relationships of these isolates among marine species of the Cytophaga-Flavobacterium-Bacteroides complex were analysed by using their gyrB nucleotide sequences and translated peptide sequences (GyrB) in addition to 16S rDNA sequences. These isolates were closely related to the previously characterized marine Flexibacter species, [Flexibacter] maritimus and [Flexibacter] ovolyticus. These Flexibacter species are distantly related to Flexibacter flexilis, the type species of the genus Flexibacter, and phylogenetically belong to the family Flavobacteriaceae (according to analysis using both 16S rDNA and GyrB sequences). Their phylogenetic, chemotaxonomic and phenotypic characteristics prompted the proposal that these two species should be transferred to the new genus Tenacibaculum, as Tenacibaculum maritimum and Tenacibaculum ovolyticum, respectively. Two additional new species of the genus Tenacibaculum, Tenacibaculum mesophilum gen. nov., sp. nov. (= MBIC 1140(T) = IFO 16307(T)) and Tenacibaculum amylolyticum gen. nov., sp. nov. (= MBIC 4355(T) = IFO 16310(T)) which were isolated from sponges and macroalgae, are also reported. For taxonomic considerations at the species level, the resolution of gyrB sequences was superior to that of 16S rDNA sequences, and the grouping based on the gyrB phylogram was consistent with DNA-DNA hybridization results.</t>
  </si>
  <si>
    <t>Marine Biotechnol Inst, Kamaishi Labs, Kamaishi, Iwate 0260001, Japan; Inst Fermentat Osaka, Yodogawa Ku, Osaka 5328686, Japan</t>
  </si>
  <si>
    <t>Suzuki, M (corresponding author), Kyowa Hakko Kogyo Co Ltd, Tokyo Res Labs, Machida, Tokyo 1948533, Japan.</t>
  </si>
  <si>
    <t>Harayama, Shigeaki/0000-0003-2103-7796</t>
  </si>
  <si>
    <t>10.1099/00207713-51-5-1639</t>
  </si>
  <si>
    <t>475KH</t>
  </si>
  <si>
    <t>WOS:000171162800003</t>
  </si>
  <si>
    <t>Lavrenov, IV; Polnikov, VG</t>
  </si>
  <si>
    <t>Properties of time-dependent solutions of the Hasselmann kinetic equation</t>
  </si>
  <si>
    <t>IZVESTIYA ATMOSPHERIC AND OCEANIC PHYSICS</t>
  </si>
  <si>
    <t>NONLINEAR ENERGY-TRANSFER; WEAK TURBULENCE THEORY; GRAVITY-WAVE SPECTRUM; SURFACE</t>
  </si>
  <si>
    <t>The Hasselmann kinetic equation for deep-water nonlinear gravity waves is studied analytically and numerically to elucidate the existence of a self-similar form of the spectrum resulting from a time-dependent solution of this equation on large time scales. It is shown analytically that, due to the presence of three integrals of motion, the complete self-similarity of solutions to the kinetic equation is impossible. However, this fact does not forbid the existence of an incomplete self-similarity, which is defined as the establishment of fixed values of the integral parameters of the spectrum in the course of its long-term evolution. This inference is confirmed by the results of a numerical study carried out by invoking both an improved method of calculating the kinetic integral and modern schemes for numerically solving the kinetic equation. The results of numerical experiments are used to determine the limiting characteristics of the form of the energy spectrum of waves on evolutionary scales when the form of the spectrum is completely controlled by nonlinear processes in waves.</t>
  </si>
  <si>
    <t>Arctic &amp; Antarctic Res Inst, St Petersburg, Russia; State Oceanog Inst, Moscow 119838, Russia</t>
  </si>
  <si>
    <t>Arctic &amp; Antarctic Research Institute</t>
  </si>
  <si>
    <t>Arctic &amp; Antarctic Res Inst, Ul Beringa 38, St Petersburg, Russia.</t>
  </si>
  <si>
    <t>lavren@aari.nw.ru</t>
  </si>
  <si>
    <t>0001-4338</t>
  </si>
  <si>
    <t>1555-628X</t>
  </si>
  <si>
    <t>IZV ATMOS OCEAN PHY+</t>
  </si>
  <si>
    <t>Izv. Atmos. Ocean. Phys.</t>
  </si>
  <si>
    <t>Meteorology &amp; Atmospheric Sciences; Oceanography</t>
  </si>
  <si>
    <t>486VA</t>
  </si>
  <si>
    <t>WOS:000171836600014</t>
  </si>
  <si>
    <t>Boyd, IL; Murray, AWA</t>
  </si>
  <si>
    <t>Monitoring a marine ecosystem using responses of upper trophic level predators</t>
  </si>
  <si>
    <t>JOURNAL OF ANIMAL ECOLOGY</t>
  </si>
  <si>
    <t>Antarctic; ecosystem management; food chain dynamics; functional response; marine</t>
  </si>
  <si>
    <t>ANTARCTIC FUR SEALS; ARCTOCEPHALUS-GAZELLA; BREEDING-SEASON; SOUTH GEORGIA; NORTH PACIFIC; VARIABILITY; CONSERVATION; FISHERIES; BEHAVIOR; PENGUINS</t>
  </si>
  <si>
    <t>1. This study examined the changing status of the marine ecosystem at the island of South Georgia (Southern Ocean) using up to 27 variables measured over 22 years from three upper trophic level predators that specialize in foraging upon krill (Eupuasia superba Dana). These variables included population size, breeding performance, offspring growth rate, foraging behaviour and diet. A method was developed for reducing these multivariate time-series to a single vector, called a combined standardized index (CSI). 2. Sensitivity analyses showed that missing values had a large effect upon the accuracy of the CSI but this effect was reduced if the individual variables were highly correlated. The level of correlation and proportion of missing values within the empirical data set were within the acceptable range. Individual variables had widely varying influence upon the CSI but, in general, those with longer time-series had the greatest influence. 3. Principal components analysis showed that variables representing offspring growth tended to explain the greatest proportion of the variability in the CSI and this was followed by variables representing diet. 4. There were 3 years in which the CSI showed extreme and significantly low values. There was a significant non-linear functional response (similar to the Holling Type II functional response) between the overall CSI and krill biomass and a similar relationship existed when the CSI was calculated for each species individually. 5. Separate analysis of variables that were likely to be representative of changing population size showed the presence of a significant decline between 1977 and 1998. There was no trend in the CSI from variables representative of foraging conditions during the summer breeding season. The study has shown that the marine ecosystem at South Georgia shows acute but transient variability that is amplified in the response of upper trophic-level predators. There is less certainty that trends in populations are a consequence of shifts in the degree to which the ecosystem can support krill-feeding seals and penguins.</t>
  </si>
  <si>
    <t>Univ St Andrews, Gatty Marine Lab, Sea Mammal Res Unit, St Andrews KY16 8LB, Fife, Scotland.</t>
  </si>
  <si>
    <t>ilb@st-and.ac.uk</t>
  </si>
  <si>
    <t>WILEY-BLACKWELL</t>
  </si>
  <si>
    <t>0021-8790</t>
  </si>
  <si>
    <t>1365-2656</t>
  </si>
  <si>
    <t>J ANIM ECOL</t>
  </si>
  <si>
    <t>J. Anim. Ecol.</t>
  </si>
  <si>
    <t>10.1046/j.0021-8790.2001.00534.x</t>
  </si>
  <si>
    <t>Ecology; Zoology</t>
  </si>
  <si>
    <t>Environmental Sciences &amp; Ecology; Zoology</t>
  </si>
  <si>
    <t>474WA</t>
  </si>
  <si>
    <t>WOS:000171128800005</t>
  </si>
  <si>
    <t>Chapman, SC; Watkins, NW; Rowlands, G</t>
  </si>
  <si>
    <t>Signatures of dual scaling regimes in a simple avalanche model for magnetospheric activity</t>
  </si>
  <si>
    <t>substorms; self organised criticality; avalanche models</t>
  </si>
  <si>
    <t>SELF-ORGANIZED CRITICALITY; SANDPILE; MAGNETOTAIL; BEHAVIOR; SYSTEMS; ANALOG; SPACE</t>
  </si>
  <si>
    <t>Recently, the paradigm that the dynamic magnetosphere displays sandpile-type phenomenology has been advanced, in which energy dissipation is by means of avalanches which do not have an intrinsic scale. This may in turn imply that the system is in a self-organised critical (SOC) state. Indicators of internal processes are consistent with this, examples are the power-law dependence of the power spectrum of auroral indices, and in situ magnetic field observations in the earth's geotail. However substorm statistics exhibit probability distributions with characteristic scales. In this paper we discuss a simple sandpile model which yields for energy discharges due to internal reorganisation a probability distribution that is a power-law, whereas systemwide discharges (flow of sand out of the system) form a distinct group whose probability distribution has a well defined mean, When the model is analysed over its fall dynamic range, two regimes having different inverse power-law statistics emerge. These correspond to reconfigurations on two distinct length scales: short length scales sensitive to the discrete nature of the sandpile model, and long length scales up to the system size which correspond to the continuous limit of the model. The latter are anticipated to correspond to large-scale systems such as the magnetosphere. Since the energy inflow may be highly variable, the response of the sandpile model is examined under strong or variable loading and it is established that the power-law signature of the large-scale internal events persists. The interval distribution of these events is also discussed. (C) 2001 Elsevier Science Ltd. All rights reserved.</t>
  </si>
  <si>
    <t>Univ Warwick, Dept Phys, Space &amp; Astrophys Grp, Coventry CV4 7AL, W Midlands, England; British Antarctic Survey, Cambridge CB3 0ET, England</t>
  </si>
  <si>
    <t>University of Warwick; UK Research &amp; Innovation (UKRI); Natural Environment Research Council (NERC); NERC British Antarctic Survey</t>
  </si>
  <si>
    <t>Chapman, SC (corresponding author), Univ Warwick, Dept Phys, Space &amp; Astrophys Grp, Coventry CV4 7AL, W Midlands, England.</t>
  </si>
  <si>
    <t>Watkins, Nick/GPX-7439-2022; Watkins, Nicholas Wynn/C-5140-2008; Chapman, Sandra/C-2216-2008</t>
  </si>
  <si>
    <t>Watkins, Nick/0000-0003-4484-6588; Watkins, Nicholas Wynn/0000-0003-4484-6588; Chapman, Sandra/0000-0003-0053-1584</t>
  </si>
  <si>
    <t>10.1016/S1364-6826(00)00237-6</t>
  </si>
  <si>
    <t>456ZZ</t>
  </si>
  <si>
    <t>WOS:000170113800002</t>
  </si>
  <si>
    <t>Watkins, NW; Freeman, MP; Chapman, SC; Dendy, RO</t>
  </si>
  <si>
    <t>Testing the SOC hypothesis for the magnetosphere</t>
  </si>
  <si>
    <t>magnetospheric dynamics; substorms; self-organised criticality</t>
  </si>
  <si>
    <t>SELF-ORGANIZED CRITICALITY; GEOMAGNETIC-ACTIVITY; STOCHASTIC-SYSTEMS; AVALANCHE MODEL; SOLAR-FLARES; TURBULENCE; DRIVEN; MAGNETOTAIL; SIMILARITY; DIMENSION</t>
  </si>
  <si>
    <t>As noted by Chang, the hypothesis of self-organised criticality provides a theoretical framework in which the low dimensionality seen in magnetospheric indices can be combined with the scaling seen in their power spectra and with observed plasma bursty bulk flows. As such, it has considerable appeal, describing the aspects of the magnetospheric fuelling: storage: release cycle which are generic to slowly-driven, interaction-dominated, thresholded systems rather than unique to the magnetosphere. In consequence, several recent numerical sandpile algorithms have been used with a view to comparison with magnetospheric observables. However, demonstration of SOC in the magnetosphere will require further work in the definition of a set of observable properties which are the unique fingerprint of SOC. This is because, for example, a scale-free power spectrum admits several possible explanations other than SOC. A more subtle problem is important for both simulations and data analysis when dealing with multiscale and hence broad-band phenomena such as SOC. This is that finite length systems such as the magnetosphere or magnetotail will by definition give information over a small range of orders of magnitude, and so scaling will tend to be narrow band. Here we develop a simple framework in which previous descriptions of magnetospheric dynamics can be described and contrasted. We then review existing observations which are indicative of SOC, and ask if they are sufficient to demonstrate it unambiguously, and if not, what new observations need to be made? (C) 2001 Elsevier Science Ltd. All rights reserved.</t>
  </si>
  <si>
    <t>British Antarctic Survey, UPPER Atmospher Sci Div, Cambridge CB3 0ET, England; Univ Warwick, Space &amp; Astrophys Grp, Coventry CV4 7AL, W Midlands, England; UKAEA Euratom Fus Assoc, Culham Sci Ctr, Abingdon OX14 3DB, Oxon, England</t>
  </si>
  <si>
    <t>UK Research &amp; Innovation (UKRI); Natural Environment Research Council (NERC); NERC British Antarctic Survey; University of Warwick; Culham Science Centre; UK Atomic Energy Authority</t>
  </si>
  <si>
    <t>Watkins, NW (corresponding author), British Antarctic Survey, UPPER Atmospher Sci Div, High Cross,Madingley Rd, Cambridge CB3 0ET, England.</t>
  </si>
  <si>
    <t>Dendy, Richard O/A-4533-2009; Watkins, Nicholas Wynn/C-5140-2008; Chapman, Sandra/C-2216-2008; Watkins, Nick/GPX-7439-2022; Freeman, Mervyn/E-5687-2019</t>
  </si>
  <si>
    <t>Dendy, Richard O/0009-0002-0017-9103; Watkins, Nicholas Wynn/0000-0003-4484-6588; Chapman, Sandra/0000-0003-0053-1584; Watkins, Nick/0000-0003-4484-6588; Freeman, Mervyn/0000-0002-8653-8279</t>
  </si>
  <si>
    <t>10.1016/S1364-6826(00)00245-5</t>
  </si>
  <si>
    <t>WOS:000170113800010</t>
  </si>
  <si>
    <t>Sojka, JJ; Schunk, RW; David, M; Innis, JL; Greet, PA; Dyson, PL</t>
  </si>
  <si>
    <t>A theoretical model study of F-region response to high latitude neutral wind upwelling events</t>
  </si>
  <si>
    <t>ionosphere; thermospheric winds; polar region; model study; gravity waves</t>
  </si>
  <si>
    <t>OVAL/POLAR CAP BOUNDARY; LOW MAGNETIC ACTIVITY; VERTICAL WINDS; MERIDIONAL WINDS; PHYSICAL MODELS; ELECTRIC-FIELDS; GRAVITY-WAVES; SOLAR MINIMUM; THERMOSPHERE; IONOSPHERE</t>
  </si>
  <si>
    <t>Neutral wind upwelling events are well documented in both the northern and southern high latitude ionosphere. The vertical winds in the F-region frequently exceed 100 m/s, and winds in excess of 200 m/s have been observed. These upwelling events occur in a latitudinal band of 4 degrees -6 degrees width that extends in local time in the midnight-morning sector; this band always lies poleward of the auroral precipitation. Using the time dependent ionospheric model (TDIM), a series of sensitivity simulations are carried out, based on observational constraints provided by the spectacular upwelling event seen at both the Mawson and Davis stations in the Antarctic on 08 June 1997 (Innis et al., 1999). The model simulations indicate that the F-layer density at any given point may either increase or decrease during an upwelling event, depending upon the past history of the plasma flux tube. Because this past history of the F-layer convection is unknown for the specific upwelling events a detailed case study cannot be undertaken. Instead a series of sensitivity simulations based upon a range of possible convection histories will be studied to determine the relative effect of the upwelling. The absolute density is not dependent upon solar EUV production because of winter conditions, but is sensitive to the auroral electron precipitation. The best F-layer indicator of the upwelling is the height of the layer, h(m)F(2). For upwelling events with vertical drifts of 100 m/s h(m)F(2) can be increased by 100 km in 10 min. Upon leaving an upwelling region, the h(m)F(2) almost as rapidly decreases to its normal height, Resulting from this lifting of the O+ layer is the reduction in O+ recombination and 630-nm emission; this latter consequence is observed as a standard feature of the upwelling events. In the topside ionosphere the electron density is responsive to the upwelling. The total electron content (TEC) is not, in general, sensitive to the uplifting events, however, low elevation slant path GPS TEC measurements might well detect the rapid uplifting of the F-layer. The upwelling event observations are insufficient to constrain our understanding of their impact upon the ionosphere, This model study does imply that upwelling events can modify the F-layer height severely. Such layer height modification can have measurable effects on radio frequency ray paths through the ionosphere. To quantify such effects a fuller description of the upwelling events as well as the past history of ionospheric plasma is needed. Experiments with higher time resolution of both the neutral parameters and F-region at multiple locations are necessary to unravel these complex events. (C) 2001 Elsevier Science Ltd. All rights reserved.</t>
  </si>
  <si>
    <t>Utah State Univ, Ctr Atmospher &amp; Space Sci, Logan, UT 84322 USA; Australian Antarctic Div, Kingston, Tas 7050, Australia; La Trobe Univ, Dept Phys, Bundoora, Vic 3083, Australia</t>
  </si>
  <si>
    <t>Utah System of Higher Education; Utah State University; Australian Antarctic Division; La Trobe University</t>
  </si>
  <si>
    <t>Sojka, JJ (corresponding author), Utah State Univ, Ctr Atmospher &amp; Space Sci, Logan, UT 84322 USA.</t>
  </si>
  <si>
    <t>10.1016/S1364-6826(01)00035-9</t>
  </si>
  <si>
    <t>469VT</t>
  </si>
  <si>
    <t>WOS:000170837300011</t>
  </si>
  <si>
    <t>Bale, JS; Worland, MR; Block, W</t>
  </si>
  <si>
    <t>Effects of summer frost exposures on the cold tolerance strategy of a sub-Antarctic beetle</t>
  </si>
  <si>
    <t>JOURNAL OF INSECT PHYSIOLOGY</t>
  </si>
  <si>
    <t>Hydromedion sparsutum; repeated freezing; freeze tolerance; freeze avoidance; dual strategy; sub-antarctic</t>
  </si>
  <si>
    <t>SOUTH GEORGIA; HYDROMEDION-SPARSUTUM; PERIMYLOPIDAE; COLEOPTERA</t>
  </si>
  <si>
    <t>The sub-Antarctic beetle Hydromedion sparsutum (Coleoptera, Perimylopidae) is common locally on the island of South Georgia where sub-zero temperatures can be experienced in any month of the year. Larvae were known to be weakly freeze tolerant in summer with a mean supercooling point (SCP) around -4 degreesC and a lower lethal temperature of -10 degreesC (15 min exposure). This study investigated the effects of successive freezing exposures on the SCP and subsequent survival of summer acclimatised larvae. The mean SCP of field fresh larvae was -4.2 +/- 0.2 degreesC with a range from -1.0 to -6.1 degreesC. When larvae were cooled to -6.5 degreesC on 10 occasions at intervals of 30 min and one and four days, survival was 44, 70 and 68%, respectively. The 'end of experiment' SCP of larvae surviving 10 exposures at -6.5 degreesC showed distinct changes and patterns from the original field population depending on the interval between exposure. In the 30 min interval group, most larvae froze between -6 and -8 degreesC, a depression of up to 6 degreesC from the original sample; all larvae were dead when cooling was continued below the SCP to -12 degreesC. In the one and four day interval groups, most larvae froze above -6 degreesC, showing no change as a result of the 10 exposures at -6.5 degreesC. As with the 30 min interval group, some larvae froze below -6 degreesC, but with a wider range, and again, all were dead when cooled to -12 degreesC. However, in the one and four day interval groups, some larvae remained unfrozen when cooled to -12 degreesC, a depression of their individual SCP of at least 6 degreesC, and were alive 24 h after cooling. In a further experiment, larvae were cooled to their individual SCP temperature at daily intervals on 10 occasions to ensure that every larva froze every day. Most larvae which showed a depression of their SCP of 2-4 degreesC from their day one value became moribund or died after six or seven freezing events. Survival was highest in larvae with SCPs of -2 to -3 degreesC on day one and which froze at this level on all 10 occasions. The results indicate that in larvae in which the SCP is lowered following sub-zero exposure, the depression of the SCP is greatest in individuals that do not actually freeze. Further, the data suggest that after successive frost exposures in early winter the larval population may become segregated into two sub-populations with different overwintering strategies. One group consists of larvae that freeze consistently in the temperature range from -1 to -3 degreesC and can survive multiple freeze-thaw cycles. A second group with lower initial SCPs (around -6 degreesC), or which fall to this level or lower (down to -12 degreesC) after freezing on one or more occasions, are less likely to freeze through extended supercooling, but more likely to die if freezing occurs. (C) 2001 Elsevier Science Ltd. All rights reserved.</t>
  </si>
  <si>
    <t>Univ Birmingham, Sch Biosci, Birmingham B15 2TT, W Midlands, England; British Antarctic Survey, NERC, Cambridge CB3 0ET, England</t>
  </si>
  <si>
    <t>University of Birmingham; UK Research &amp; Innovation (UKRI); Natural Environment Research Council (NERC); NERC British Antarctic Survey</t>
  </si>
  <si>
    <t>Bale, JS (corresponding author), Univ Birmingham, Sch Biosci, Birmingham B15 2TT, W Midlands, England.</t>
  </si>
  <si>
    <t>0022-1910</t>
  </si>
  <si>
    <t>J INSECT PHYSIOL</t>
  </si>
  <si>
    <t>J. Insect Physiol.</t>
  </si>
  <si>
    <t>10.1016/S0022-1910(01)00097-X</t>
  </si>
  <si>
    <t>Entomology; Physiology; Zoology</t>
  </si>
  <si>
    <t>471JD</t>
  </si>
  <si>
    <t>WOS:000170925500008</t>
  </si>
  <si>
    <t>Neale, PJ</t>
  </si>
  <si>
    <t>Modeling the effects of ultraviolet radiation on estuarine phytoplankton production: impact of variations in exposure and sensitivity to inhibition</t>
  </si>
  <si>
    <t>JOURNAL OF PHOTOCHEMISTRY AND PHOTOBIOLOGY B-BIOLOGY</t>
  </si>
  <si>
    <t>Meeting on Stratospheric Processes and Their Role in Climate (SPARC)</t>
  </si>
  <si>
    <t>NOV 09-11, 2000</t>
  </si>
  <si>
    <t>MAR DEL PLATA, ARGENTINA</t>
  </si>
  <si>
    <t>biological weighting functions; photoinhibition; UV-B; UV-A</t>
  </si>
  <si>
    <t>BIOLOGICAL WEIGHTING FUNCTION; OZONE DEPLETION; ANTARCTIC PHYTOPLANKTON; PHOTOSYNTHESIS; UV; LAKES; LIGHT</t>
  </si>
  <si>
    <t>Spectral ultraviolet (UV) irradiance, water column attenuation and biological weighting functions for inhibition of phytoplankton photosynthesis have been measured for the Rhode River, a subestuary of the Chesapeake Bay. Together, these measurements can be used to estimate UV effects on water column production, but each factor shows a significant range of variability even just considering summer time conditions. A sensitivity analysis of UV inhibition is described which assesses the effect of this variation for different combinations of 28 irradiance spectra, 8 biological weighting functions (BWFs) and 16 water column irradiance profiles. Over all combinations, production averaged about 84% relative to potential production in the absence of UV effects. For a few combinations, relative production was as low as 67%, or as high as 97%, but for most combinations the range was 75-95%. Variations in the sensitivity of the phytoplankton assemblage, i.e. the BWF, and optical properties, represented by a transparency ratio of biologically effective UV to photosynthetically available radiation (PAR), had large effects on water column production. A simple relationship for UV inhibition of water column production is developed based on inhibition at the surface and the ratio of UV and PAR transparency. (C) 2001 Elsevier Science BY. All rights reserved.</t>
  </si>
  <si>
    <t>Smithsonian Environm Res Ctr, Edgewater, MD 21037 USA</t>
  </si>
  <si>
    <t>Smithsonian Institution; Smithsonian Environmental Research Center</t>
  </si>
  <si>
    <t>Neale, PJ (corresponding author), Smithsonian Environm Res Ctr, POB 28, Edgewater, MD 21037 USA.</t>
  </si>
  <si>
    <t>Neale, Patrick/A-3683-2012</t>
  </si>
  <si>
    <t>ELSEVIER SCIENCE SA</t>
  </si>
  <si>
    <t>LAUSANNE</t>
  </si>
  <si>
    <t>PO BOX 564, 1001 LAUSANNE, SWITZERLAND</t>
  </si>
  <si>
    <t>1011-1344</t>
  </si>
  <si>
    <t>J PHOTOCH PHOTOBIO B</t>
  </si>
  <si>
    <t>J. Photochem. Photobiol. B-Biol.</t>
  </si>
  <si>
    <t>10.1016/S1011-1344(01)00159-2</t>
  </si>
  <si>
    <t>474BZ</t>
  </si>
  <si>
    <t>WOS:000171085600002</t>
  </si>
  <si>
    <t>Buma, AGJ; Helbling, EW; de Boer, MK; Villafañe, VE</t>
  </si>
  <si>
    <t>Patterns of DNA damage and photoinhibition in temperate South-Atlantic picophytoplankton exposed to solar ultraviolet radiation</t>
  </si>
  <si>
    <t>UVR; phytoplankton; DNA; CPD; photosynthetic inhibition; mid-latitudes</t>
  </si>
  <si>
    <t>MARINE-PHYTOPLANKTON; UV-RADIATION; ANTARCTIC PHYTOPLANKTON; OZONE DEPLETION; LAKE TITICACA; B RADIATION; ICE ALGAE; IMPACT; PHOTOSYNTHESIS; INHIBITION</t>
  </si>
  <si>
    <t>Natural marine phytoplankton assemblages from Bahia Bustamante (Chubut, Argentina, 45 degreesS, 66.5 degreesW), mainly consisting of cells in the picoplankton size range (0.2-2 mum), were exposed to various UVBR (280-315 nm) and UVAR (315-400 mn) regimes in order to follow wavelength-dependent patterns of cyclobutane pyrimidine dimer (CPD) induction and repair. Simultaneously, UVR induced photosynthetic inhibition was studied in radiocarbon incorporation experiments. Biological weighting functions (BWFs) for photoinhibition and for CPD induction, the latter measured in bare calf thymus DNA, differed in the UVAR region: carbon incorporation was reduced markedly due to UVAR, whereas no measurable UVAR effect was found on CPD formation. In contrast, BWFs for inhibition of photosynthesis and CPD accumulation were fairly similar in the UVBR region, especially above 300 um. Incubation of phytoplankton under full solar radiation caused rapid CPD accumulation over the day, giving maximum damage levels exceeding 500 CPD.MB-1 at the end of the afternoon. A clear daily pattern of CPD accumulation was found, in keeping with the DNA effective dose measured by a DNA dosimeter. In contrast, UVBR induced photosynthetic inhibition was not dose related and remained nearly constant during the day. Screening of U-VBR or UVR did not cause significant CPD removal, indicating that photoreactivation either by PAR or UVAR was of minor importance in these organisms. Fligh CPD levels were found in situ early in the morning, which remained unaffected notwithstanding treatments favoring photorepair. These results imply that a proportion of cells had been killed by UVBR exposure prior to the treatments. Our data suggest that the limited potential for photoreactivation in picophytoplankton assemblages from the southern Atlantic Ocean causes high CPD accumulation as a result of UVBR exposure. (C) 2001 Elsevier Science BY All rights reserved.</t>
  </si>
  <si>
    <t>Univ Groningen, Dept Marine Biol, NL-9750 AA Haren, Netherlands; Estac Fotobiol Playa Union, RA-9100 Trelew, Chubut, Argentina; Consejo Nacl Invest Cient &amp; Tecn, RA-9100 Trelew, Chubut, Argentina</t>
  </si>
  <si>
    <t>University of Groningen; Consejo Nacional de Investigaciones Cientificas y Tecnicas (CONICET)</t>
  </si>
  <si>
    <t>Univ Groningen, Dept Marine Biol, POB 14, NL-9750 AA Haren, Netherlands.</t>
  </si>
  <si>
    <t>a.g.j.buma@biol.rug.nl</t>
  </si>
  <si>
    <t>Buma, Anita GJ/E-8372-2015</t>
  </si>
  <si>
    <t>Villafane, Virginia/0000-0002-9552-6069</t>
  </si>
  <si>
    <t>10.1016/S1011-1344(01)00156-7</t>
  </si>
  <si>
    <t>WOS:000171085600003</t>
  </si>
  <si>
    <t>Estevez, MS; Malanga, G; Puntarulo, S</t>
  </si>
  <si>
    <t>UV-B effects on Antarctic Chlorella sp cells</t>
  </si>
  <si>
    <t>Antarctic Chlorella sp; antioxidants; oxidative stress; UV-B radiation</t>
  </si>
  <si>
    <t>ULTRAVIOLET-RADIATION; OZONE DEPLETION; PHYTOPLANKTON PHOTOSYNTHESIS; ASCORBIC-ACID; ANTIOXIDANT; GENERATION; VULGARIS; STRESS</t>
  </si>
  <si>
    <t>Growth of Antarctic Chlorella sp cells was measured in cultures irradiated with 30 kJ m(-2) UV-B (280-320 mn). The specific growth rate immediately after the lag phase was 0.36 +/-0.06 and 0.26 +/-0.03 day(-1) for unirradiated cultures and cultures irradiated with UV-B, respectively. UV-B irradiation significantly decreased ascorbate content by 54.5%, and increased the ascorbyl radical content/ascorbate content ratio by 2.25-fold in algae cultures in log phase. UV-B exposure significantly decreased by 95, 62 and 71% the content of alpha -tocopherol, beta -carotene and total thiols, respectively, in cells in log phase of development. The cellular content of alpha -tocopherol, beta -carotene and total thiols was reduced by 78, 43 and 44%, respectively in stationary phase, as compared to the antioxidant content in the cells during log phase of development. UV-B exposure reduced the content of alpha -tocopherol and total thiols in stationary phase of development by 64 and 91%, respectively, as compared to unirradiated cells. The content of beta -carotene in stationary phase was not affected by UV-B exposure. The results presented here suggest that increased UV-B radiation was responsible for the development of oxidative stress conditions, assessed as the ascorbyl radical content/ascorbate content ratio, in Antarctic Chlorella sp cells. Moreover, a significant decrease in the content of both lipid and water soluble antioxidants might contribute to establish oxidative stress in the cells. (C) 2001 Elsevier Science B.V. All rights reserved.</t>
  </si>
  <si>
    <t>Univ Buenos Aires, Sch Pharm &amp; Biochem, Phys Chem PRALIB, RA-1113 Buenos Aires, DF, Argentina</t>
  </si>
  <si>
    <t>Univ Buenos Aires, Sch Pharm &amp; Biochem, Phys Chem PRALIB, Junin 956, RA-1113 Buenos Aires, DF, Argentina.</t>
  </si>
  <si>
    <t>susanap@ffyb.uba.ar</t>
  </si>
  <si>
    <t>10.1016/S1011-1344(01)00157-9</t>
  </si>
  <si>
    <t>WOS:000171085600004</t>
  </si>
  <si>
    <t>Ballaré, CL; Rousseaux, MC; Searles, PS; Zaller, JG; Giordano, CV; Robson, TM; Caldwell, MM; Sala, OE; Scopel, AL</t>
  </si>
  <si>
    <t>Impacts of solar ultraviolet-B radiation on terrestrial ecosystems of Tierra del Fuego (southern Argentina) -: An overview of recent progress</t>
  </si>
  <si>
    <t>Gunnera magellanica; Nothofagus; Sphagnum; DNA damage; herbivory; ozone hole; Tierra del Fuego; UV-B</t>
  </si>
  <si>
    <t>PLANT-INSECT INTERACTIONS; UV-RADIATION; HEATH ECOSYSTEM; OZONE DEPLETION; AMBIENT LEVELS; DNA-DAMAGE; GROWTH; FIELD; ARABIDOPSIS; RESPONSES</t>
  </si>
  <si>
    <t>The southern part of Tierra del Fuego, in the southernmost tip of South America, is covered by dense Nothofagus spp. forests and Sphagnum-dominated peat bogs, which are subjected to the influence of ozone depletion and to increased levels of solar ultraviolet-B radiation (UV-B). Over the last 5 years we have studied some of the biological impacts of solar UV-B on natural ecosystems of this region. We have addressed two general problems: (i) do the fluctuations in UV-B levels under the influence of the Antarctic ozone 'hole' have any measurable biological impact, and (ii) what are the long-term effects of solar (ambient) UV-B on the Tierra del Fuego ecosystems? In this paper, we provide an overview of the progress made during the first 4 years of the project. We highlight and discuss the following results: (1) ambient UV-B has subtle but significant inhibitory effects on the growth of herbaceous and graminoid species of this region (growth reduction less than or equal to 12%) whereas no consistent inhibitory effects could be detected in woody perennials; (2) in the species investigated in greatest detail, Gunnera magellanica, the inhibitory effect of solar UV-B is accompanied by increased levels of DNA damage in leaf tissue, and the DNA damage density in the early spring is clearly correlated with the dose of weighted UV-B measured at ground level; (3) the herbaceous species investigated thus far show little or no acclimation responses to ambient UV-B such as increased sunscreen levels and DNA repair capacity; and (4) ambient UV-B has significant effects on heterotrophic organisms, included marked inhibitory effects on insect herbivory. The results from the experiments summarized in this review clearly indicate that UV-B influences several potentially important processes and ecological interactions in the terrestrial ecosystems of Tierra del Fuego. (C) 2001 Elsevier Science B.V. All rights reserved.</t>
  </si>
  <si>
    <t>Consejo Nacl Invest Cient &amp; Tecn, IFEVA, Buenos Aires, DF, Argentina; Utah State Univ, Dept Rangeland Resources, Logan, UT 84322 USA; Utah State Univ, Ctr Ecol, Logan, UT 84322 USA</t>
  </si>
  <si>
    <t>University of Buenos Aires; Consejo Nacional de Investigaciones Cientificas y Tecnicas (CONICET); Utah System of Higher Education; Utah State University; Utah System of Higher Education; Utah State University</t>
  </si>
  <si>
    <t>Ballaré, CL (corresponding author), Consejo Nacl Invest Cient &amp; Tecn, IFEVA, Av San Martin 4453,C1417 DSE, Buenos Aires, DF, Argentina.</t>
  </si>
  <si>
    <t>Zaller, Johann G./A-9914-2009; Robson, Thomas Matthew/J-3381-2012; Ballare, Carlos/F-5141-2011</t>
  </si>
  <si>
    <t>Zaller, Johann G./0000-0001-7744-7378; Robson, Thomas Matthew/0000-0002-8631-796X; Sala, Osvaldo/0000-0003-0142-9450; Searles, Peter/0000-0002-2867-5881; Rousseaux, Maria Cecilia/0000-0001-8761-8839; Ballare, Carlos/0000-0001-9129-4531</t>
  </si>
  <si>
    <t>10.1016/S1011-1344(01)00152-X</t>
  </si>
  <si>
    <t>WOS:000171085600009</t>
  </si>
  <si>
    <t>Day, TA; Ruhland, CT; Xiong, FS</t>
  </si>
  <si>
    <t>Influence of solar ultraviolet-B radiation on Antarctic terrestrial plants: results from a 4-year field study</t>
  </si>
  <si>
    <t>Antarctica; Colobanthus quitensis; Deschampsia antarctica; leaf expansion; litter; ozone depletion; reproduction; UV-B radiation</t>
  </si>
  <si>
    <t>ETIOLATING TOMATO SEEDLINGS; BARLEY PRIMARY LEAVES; UV-B; HYPOCOTYL ELONGATION; OZONE DEPLETION; VASCULAR PLANTS; HEATH ECOSYSTEM; BRASSICA-RAPA; LOBLOLLY-PINE; GROWTH</t>
  </si>
  <si>
    <t>We examined the influence of solar ultraviolet-B radiation (UV-B; 280-315 nm) on the performance of Antarctic vascular plants (Colobanthus quitensis and Deschampsia antarctica) by placing filters that either absorbed or transmitted most solar UV-B over tundra along the Antarctic Peninsula for four consecutive growing seasons. The difference in biologically effective UV-B levels between our treatments was 65%, which was similar to the enhancement in ambient UV-B levels that appeared attributable to ozone depletion during the first 2 months of the growing season (November and December) at our site (62%). In both species, exposure to UV-B reduced vegetative growth, primarily through slower leaf elongation rates that led to shorter fully expanded leaves. In C. quitensis, exposure to UV-B also led to reductions in leaf longevity, branch production, cushion diameter growth, aboveground biomass, and thickness of the non-green cushion base and litter layer. Exposure to UV-B accelerated the development of reproductive structures and increased the number of panicles (D. antarctica) and capsules (C. quitensis) that reached maturity per unit of ground surface area covered by mother plants. However, this effect was offset by a tendency for these panicles and capsules to produce fewer spikelets and seeds. Ultimately, U-V-B exposure did not effect the numbers of spikelets or seeds produced per unit of ground surface area. While seeds from plants exposed to UV-B tended to be lighter, germination rates were similar between UV-B treatments. The relative reductions in leaf elongation rates in D. antarctica attributable to UV-B exposure increased from the first (23%) through the fourth (43%) growing season, and relative reductions in leaf longevity in C. quitensis tended to increase from the first (9%) through the fourth (19%) growing season, suggesting that UV-B growth responses tended to be cumulative over successive years. (C) 2001 Elsevier Science B.V. All rights reserved.</t>
  </si>
  <si>
    <t>Arizona State Univ, Dept Plant Biol, Tempe, AZ 85287 USA</t>
  </si>
  <si>
    <t>Arizona State University; Arizona State University-Tempe</t>
  </si>
  <si>
    <t>Day, TA (corresponding author), Arizona State Univ, Dept Plant Biol, POB 871601, Tempe, AZ 85287 USA.</t>
  </si>
  <si>
    <t>Day, Thomas/B-1462-2008</t>
  </si>
  <si>
    <t>Day, Thomas/0000-0002-1582-4585</t>
  </si>
  <si>
    <t>10.1016/S1011-1344(01)00161-0</t>
  </si>
  <si>
    <t>WOS:000171085600010</t>
  </si>
  <si>
    <t>McLeod, AR; Rey, A; Newsham, KK; Lewis, GC; Wolferstan, P</t>
  </si>
  <si>
    <t>Effects of elevated ultraviolet radiation and endophytic fungi on plant growth and insect feeding in Lolium perenne, Festuca rubra, F-arundinacea and F-pratensis</t>
  </si>
  <si>
    <t>ultraviolet radiation; UV-A; UV-B; endophytic fungi; desert locust; Schistocerca gregaria; lolines; herbivory; peramine</t>
  </si>
  <si>
    <t>UV-B RADIATION; GRASSES; PREFERENCE; RYEGRASS</t>
  </si>
  <si>
    <t>Plants of perennial ryegrass (Lolium perenne L.), red fescue (Festuca rubra L.), tall fescue (F. arundinacea Schreb.) and meadow fescue (F. pratensis Huds) were exposed at an outdoor facility located in Edinburgh, UK to modulated levels of UV-B radiation (280-315 nm) using banks of cellulose diacetate filtered UV-B fluorescent lamps that also produce UV-A radiation (315-400 nm). The plants were derived from a single clone of each species and were grown both with and without colonization by naturally-occurring fungal endophytes. The UV-B treatment was a 30% elevation above the ambient erythemally-weighted level of UV-B during July to October. Growth of treated plants was compared with plants grown under elevated UV-A radiation alone produced by banks of polyester filtered lamps and with plants grown at ambient levels of solar radiation under banks of unenergized lamps. At the end of the treatment period, sample leaves were collected for feeding trials with the desert locust Schistocerca gregaria (Forsk). The UV-B treatment produced no effects on the aboveground biomass of any of the four grasses. The UV-B treatment and the UV-A control exposure both increased plant height and the number of daughter plants formed by rhizome growth in F. rubra. There were significant effects of endophyte presence on the total fresh and dry weights of F. arundinacea and F. rubra, on fresh weight only in F. pratensis, and on the fresh and dry weights of inflorescence in F. arundinacea and L. perenne. There were no effects of UV treatments on the absolute amounts of leaf consumed or on the feeding preferences of locusts for leaves with or without endophyte in three species: F. rubra, F. arundinacea and L. perenne. In F, pratensis there was no effect of UV treatment on the weight of leaves consumed but a significant UVxendophyte interaction caused by a marked change in feeding preference between leaves with and without endophyte that differed between the UV-B treatment and UV-A control exposures. The alkaloid compounds known as lolines were analysed in leaves of F. pratensis arid were only found in plants grown with endophyte. However, there was no significant relationship between total loline content and insect feeding preference. These effects illustrate the potential complexities of species interactions under increasing levels of UV-B. The experiment also demonstrates the importance of appropriate controls in UV lamp supplementation experiments for interpretation of both plant growth and insect feeding effects. (C) 2001 Elsevier Science B.V. All rights reserved.</t>
  </si>
  <si>
    <t>Univ Edinburgh, Ctr Study Environm Change &amp; Sustainabil, Edinburgh EH9 3JK, Midlothian, Scotland; Univ Edinburgh, Inst Ecol &amp; Resource Management, Edinburgh EH9 3JU, Midlothian, Scotland; British Antarctic Survey, Cambridge CB3 0ET, England; Inst Grassland &amp; Environm Res, Okehampton EX20 2SB, Devon, England; Aberystwyth Res Ctr, Inst Grassland &amp; Environm Res, Aberystwyth SY23 3EB, Dyfed, Wales</t>
  </si>
  <si>
    <t>University of Edinburgh; University of Edinburgh; UK Research &amp; Innovation (UKRI); Natural Environment Research Council (NERC); NERC British Antarctic Survey; Aberystwyth University</t>
  </si>
  <si>
    <t>McLeod, AR (corresponding author), Univ Edinburgh, Ctr Study Environm Change &amp; Sustainabil, Mayfield Rd, Edinburgh EH9 3JK, Midlothian, Scotland.</t>
  </si>
  <si>
    <t>Rey, ANA/F-5791-2016; Newsham, Kevin K/C-4192-2011</t>
  </si>
  <si>
    <t>Rey, ANA/0000-0003-0394-101X;</t>
  </si>
  <si>
    <t>10.1016/S1011-1344(01)00151-8</t>
  </si>
  <si>
    <t>WOS:000171085600012</t>
  </si>
  <si>
    <t>Sun, S; Bleck, R</t>
  </si>
  <si>
    <t>Thermohaline circulation studies with an Isopycnic Coordinate Ocean Model</t>
  </si>
  <si>
    <t>JOURNAL OF PHYSICAL OCEANOGRAPHY</t>
  </si>
  <si>
    <t>GREENLAND-SCOTLAND RIDGE; ANTARCTIC BOTTOM WATER; NORTH-ATLANTIC; DEEP-WATER; INDIAN-OCEAN; TRANSPORT; EXCHANGE; THROUGHFLOW; ATMOSPHERE; FLOW</t>
  </si>
  <si>
    <t>The thermohaline circulation (THC) in a 1000-yr near-global numerical simulation using the Miami Isopycnic Coordinate Ocean Model is analyzed and compared to observations. The model, driven by observed monthly atmospheric climatology, uses potential density referenced to 2000 M (sigma (2)) as the vertical coordinate and accounts for compressibility (thermobaricity) effects. Examination of the three-dimensional mass flux field reveals that the model comes fairly close to quantitatively reproducing a number of global and basin-scale circulation features, such as the vertical-meridional overturning rate in the three major basins, the meridional heat flux, and the transport through the major passages. Methods are presented that allow the construction of composite diagrams revealing quantitative regional aspects of the modeled circulation in potential density space. The diagrams reveal many features of the modeled THC that adhere to observations. the most noticeable shortcoming being a weaker-than-observed northward penetration of bottom water into the three major basins caused by insufficient production of Antarctic Bottom Water.</t>
  </si>
  <si>
    <t>NASA, Goddard Inst Space Studies, New York, NY 10025 USA; Los Alamos Natl Lab, Los Alamos, NM USA</t>
  </si>
  <si>
    <t>National Aeronautics &amp; Space Administration (NASA); NASA Goddard Space Flight Center; Goddard Institute for Space Studies; United States Department of Energy (DOE); Los Alamos National Laboratory</t>
  </si>
  <si>
    <t>Sun, S (corresponding author), NASA, Goddard Inst Space Studies, 2880 Broadway, New York, NY 10025 USA.</t>
  </si>
  <si>
    <t>Bleck, Rainer/AAQ-2905-2021; Sun, Shan/H-2318-2015</t>
  </si>
  <si>
    <t>Bleck, Rainer/0000-0001-7387-4620;</t>
  </si>
  <si>
    <t>AMER METEOROLOGICAL SOC</t>
  </si>
  <si>
    <t>BOSTON</t>
  </si>
  <si>
    <t>45 BEACON ST, BOSTON, MA 02108-3693 USA</t>
  </si>
  <si>
    <t>0022-3670</t>
  </si>
  <si>
    <t>J PHYS OCEANOGR</t>
  </si>
  <si>
    <t>J. Phys. Oceanogr.</t>
  </si>
  <si>
    <t>10.1175/1520-0485(2001)031&lt;2761:TCSWAI&gt;2.0.CO;2</t>
  </si>
  <si>
    <t>473QZ</t>
  </si>
  <si>
    <t>WOS:000171060600014</t>
  </si>
  <si>
    <t>Bradford-Grieve, JM; Nodder, SD; Jillett, JB; Currie, K; Lassey, KR</t>
  </si>
  <si>
    <t>Potential contribution that the copepod Neocalanus tonsus makes to downward carbon flux in the Southern Ocean</t>
  </si>
  <si>
    <t>SUBTROPICAL CONVERGENCE REGION; PLANKTONIC COMMUNITY STRUCTURE; SUBARCTIC PACIFIC-OCEAN; SUB-ANTARCTIC COPEPOD; NEW-ZEALAND; AUSTRAL WINTER; EGG-PRODUCTION; FECAL PELLETS; SPRING 1993; EAST</t>
  </si>
  <si>
    <t>We estimate that Neocalanus tonsus makes a contribution to downwards carbon flux of 1.7-9.3 g C m(-2) year(-1), in subantarctic waters, the Subtropical Front and waters immediately to the north, based on its ontogenetic vertical in ration minus the biomass of eggs, the products of which are returned to the surface the following season. This flux is an order of magnitude greater than that estimated (0.27 g C m(-2) year(-1)) for vertical migration of large copepods in the North Atlantic. Over the total 55.6 X 10(6) km(2) where N. tonsus is distributed, 0. 17 Gt C year(-1) are estimated to be lost annually to the ocean interior In subantarctic water, this loss represents 1.4% of primary production and is 14% greater than the measured sedimented particulate organic carbon (POC at 300 m. Similarly, in subtropical water, carbon loss to the ocean interior from N tonsus seasonal migration is estimated to be 13 % lower than measured POC flux. Nevertheless, N. tonsus Was never found in time-incremental sediment trap samples. We hypothesize that the apparently proportionally different role of downwards seasonal migration of large copepods relative to sedimented POC in the North Atlantic compared with the subarctic North Pacific and Southern Ocean arises because of a combination of differences in the nutrient status of these oceans, differences in the rate of development of grazer populations in spring, and differences in life history characteristics of large copepods. The flux due to the behaviour of N. tonsus in different parts of its range, put into the context of the estimated global-mean net flux of 1.7-3.7 g C m(2) year(-1) taken up by the ocean, may be a regionally significant amount. The summer downward migration of N. tonsus, however, does not entirely explain the observed seasonal variation in regional measurements of pCO(2) off New Zealand.</t>
  </si>
  <si>
    <t>Natl Inst Water &amp; Atmospher Res, Wellington, New Zealand; Univ Otago, Dept Marine Sci, Dunedin, New Zealand; Univ Otago, Dept Marine Sci, Dept Chem, NIWA Ctr Chem &amp; Phys Oceanog, Dunedin, New Zealand</t>
  </si>
  <si>
    <t>National Institute of Water &amp; Atmospheric Research (NIWA) - New Zealand; University of Otago; University of Otago</t>
  </si>
  <si>
    <t>Natl Inst Water &amp; Atmospher Res, POB 14901, Wellington, New Zealand.</t>
  </si>
  <si>
    <t>Bradford-Grieve, Janet/0000-0002-3580-1217; Lassey, Keith/0000-0003-0350-4215</t>
  </si>
  <si>
    <t>10.1093/plankt/23.9.963</t>
  </si>
  <si>
    <t>477MF</t>
  </si>
  <si>
    <t>WOS:000171286800006</t>
  </si>
  <si>
    <t>Jeong, GY; Yoon, HI</t>
  </si>
  <si>
    <t>The origin of clay minerals in soils of King George Island, South Shetland Islands, West Antarctica, and its implications for the clay-mineral compositions of marine sediments</t>
  </si>
  <si>
    <t>JOURNAL OF SEDIMENTARY RESEARCH</t>
  </si>
  <si>
    <t>PENINSULA</t>
  </si>
  <si>
    <t>Clay minerals in the soils of King George Island, South Shetland Islands, West Antarctica, were investigated to evaluate their influence upon the composition of marine sediments derived from them. Paleohydrothermal activity has developed phyllic-argillic alteration zones in restricted areas of the volcanic bedrock. Illite and kaolinite show a highly localized distribution in the soils of the phyllic-argillic zones, whereas chlorite dominates in the soils of unaltered bedrock. The localized distribution indicates that illite and kaolinite are residues from altered bedrock, whereas chlorite originates from unaltered bedrock. Smectite in the soils is rather uniformly distributed with no relationship to the phyllic-argillic zones. It is mostly the alteration product of eolian pumice shards, which are found scattered throughout the soils on a microscopic scale. The eolian provenance of smectite associated with pumice shards is supported by a uniform distribution of smectite, coexistence of fresh and altered pumice shards, and rather short exposure after deglaciation. Smectites likely have been formed in a remote source around volcanic craters and reworked by repeated eruptions. Formation of clay minerals by chemical weathering as suggested in previous studies appears to be insignificant on King George Island, even though the climate is warmer and more humid than in other Antarctic regions. Smectite and kaolinite in seafloor sediments around the South Shetland Islands do not indicate chemical weathering in the source area. Instead, their occurrence suggests that volcanism, igneous intrusion, and related hydrothermal alterations were active in the South Shetland Islands during the Cenozoic.</t>
  </si>
  <si>
    <t>Andong Natl Univ, Dept Earth &amp; Environm Sci, Andong 760749, South Korea; Korea Ocean Res &amp; Dev Inst, Polar Res Ctr, Ansan 425600, South Korea</t>
  </si>
  <si>
    <t>Andong National University; Korea Institute of Ocean Science &amp; Technology (KIOST)</t>
  </si>
  <si>
    <t>Jeong, GY (corresponding author), Andong Natl Univ, Dept Earth &amp; Environm Sci, Andong 760749, South Korea.</t>
  </si>
  <si>
    <t>SEPM-SOC SEDIMENTARY GEOLOGY</t>
  </si>
  <si>
    <t>TULSA</t>
  </si>
  <si>
    <t>1731 E 71ST STREET, TULSA, OK 74136-5108 USA</t>
  </si>
  <si>
    <t>1073-130X</t>
  </si>
  <si>
    <t>J SEDIMENT RES</t>
  </si>
  <si>
    <t>J. Sediment. Res.</t>
  </si>
  <si>
    <t>10.1306/2DC4096C-0E47-11D7-8643000102C1865D</t>
  </si>
  <si>
    <t>472FR</t>
  </si>
  <si>
    <t>WOS:000170973300016</t>
  </si>
  <si>
    <t>Millar, IL; Willan, RCR; Wareham, CD; Boyce, AJ</t>
  </si>
  <si>
    <t>The role of crustal and mantle sources in the genesis of granitoids of the Antarctic Peninsula and adjacent crustal blocks</t>
  </si>
  <si>
    <t>Antarctica; Gondwana; granites; isotopes; subduction</t>
  </si>
  <si>
    <t>EASTERN PALMER-LAND; WILEY GLACIER COMPLEX; BREAK-UP; TECTONIC IMPLICATIONS; CONTINENTAL-CRUST; WEST ANTARCTICA; PACIFIC MARGIN; TRACE-ELEMENT; ARC MAGMATISM; GRAHAM LAND</t>
  </si>
  <si>
    <t>Magmatic rocks from the Antarctic Peninsula show marked variations in isotope composition, which reflect changes in the geodynamic evolution of the peninsula through time. Most Antarctic Peninsula granitoids formed as a result of subduction: they fall on well-defined trends on plots of Nd, Pb-207/Pb-204 and delta O-18 against Sr-87/Sr-86(i). between a component derived from subduction-modified mantle or juvenile basaltic underplate (epsilon Nd-i&gt;6, Pb-207/Pb-204=15.61, delta O-18=5.5 parts per thousand, Sr-87/Sr-86 &lt;0.704) and an end-member interpreted as a melt of Proterozoic lower crust (epsilon Nd=-7, Pb-207/Pb-204=15.67, delta O-18=10 parts per thousand, Sr-87/Sr-86=0.709). A small group of granitoids. emplaced before or during Gondwana break-up, plot on distinct trends towards high Sr-87/Sr-86(i) compositions. reflecting mixing between melts derived from Proterozoic lower crust and melts of middle-upper crustal rocks (epsilon Nd-i=-9, Pb-207/Pb-204=15.64, delta O-18=10 parts per thousand, Sr-87/Sr-86=0.726). with little or no input of new material derived from the mantle or from juvenile basaltic underplate. These granitoids are thought to have formed as a result of crustal attenuation during the initial rifting phase of Gondwana break-up. Similar trends are shown by data from granitoids of the adjacent crustal blocks of West Antarctica, The isotope data suggest that an enriched Ferrar/Karoo-type lithosphere was not involved in the genesis of granitoids of the Antarctic Peninsula or of the Ellsworth-Whitmore Mountains crustal block.</t>
  </si>
  <si>
    <t>British Antarctic Survey, NERC, Isotope Geosci Lab, Keyworth NG12 5GG, Notts, England; British Antarctic Survey, Cambridge CB3 0ET, England; Scottish Univ Enivronm Res Ctr, Isotope Geosci Unit, Glasgow G75 0QF, Lanark, Scotland</t>
  </si>
  <si>
    <t>UK Research &amp; Innovation (UKRI); Natural Environment Research Council (NERC); NERC British Antarctic Survey; NERC British Geological Survey; UK Research &amp; Innovation (UKRI); Natural Environment Research Council (NERC); NERC British Antarctic Survey; Scottish Universities Research &amp; Reactor Center</t>
  </si>
  <si>
    <t>Millar, IL (corresponding author), British Antarctic Survey, NERC, Isotope Geosci Lab, Keyworth NG12 5GG, Notts, England.</t>
  </si>
  <si>
    <t>Boyce, Adrian J/D-2263-2010; Millar, Ian L/F-1541-2010; Boyce, Adrian/AAH-3203-2020</t>
  </si>
  <si>
    <t>Boyce, Adrian J/0000-0002-9680-0787; Boyce, Adrian/0000-0002-9680-0787</t>
  </si>
  <si>
    <t>10.1144/0016-764900-139</t>
  </si>
  <si>
    <t>485CA</t>
  </si>
  <si>
    <t>WOS:000171734900013</t>
  </si>
  <si>
    <t>Agreiter, J; Frankowski, M; Bondybey, VE</t>
  </si>
  <si>
    <t>Ionization and hydrolysis of dinitrogen pentoxide in low-temperature solids</t>
  </si>
  <si>
    <t>LOW TEMPERATURE PHYSICS</t>
  </si>
  <si>
    <t>ANTARCTIC OZONE DEPLETION; INFRARED-SPECTRA; NITRIC-ACID; HETEROGENEOUS REACTIONS; N2O5; ICE; WATER; CLUSTERS; SURFACES; FILMS</t>
  </si>
  <si>
    <t>Solid layers of interest for the chemistry of polar stratospheric clouds are investigated. Mixtures of covalent N2O5 and water in various molar ratios are deposited from the vapor phase on a cold 12 K substrate. By repeatedly recording Fourier transform infrared spectra of the samples during gradual warmup to 200 K over a period of several hours the hydrolysis process can be followed. At each concentration the process is found to proceed in several distinct steps with sharp temperature thresholds. In samples containing only small amounts of water the covalent N2O5 is first, at around 110 K, converted to an ionic nitronium nitrate, and only in a subsequent step does NO2+NO3- react to form nitric acid. (C) 2001 American Institute of Physics.</t>
  </si>
  <si>
    <t>Tech Univ Munich, Inst Phys &amp; Theoret Chem, D-85747 Garching, Germany; Polish Acad Sci, Inst Fluid Flow Machinery, PL-80231 Gdansk, Poland</t>
  </si>
  <si>
    <t>Technical University of Munich; Polish Academy of Sciences; Institute of Fluid-Flow Machinery of the Polish Academy of Sciences</t>
  </si>
  <si>
    <t>Agreiter, J (corresponding author), Tech Univ Munich, Inst Phys &amp; Theoret Chem, Lichtenbergstr 4, D-85747 Garching, Germany.</t>
  </si>
  <si>
    <t>AMER INST PHYSICS</t>
  </si>
  <si>
    <t>CIRCULATION &amp; FULFILLMENT DIV, 2 HUNTINGTON QUADRANGLE, STE 1 N O 1, MELVILLE, NY 11747-4501 USA</t>
  </si>
  <si>
    <t>1063-777X</t>
  </si>
  <si>
    <t>LOW TEMP PHYS+</t>
  </si>
  <si>
    <t>Low Temp. Phys.</t>
  </si>
  <si>
    <t>9-10</t>
  </si>
  <si>
    <t>10.1063/1.1414583</t>
  </si>
  <si>
    <t>Physics, Applied</t>
  </si>
  <si>
    <t>488QM</t>
  </si>
  <si>
    <t>WOS:000171947200032</t>
  </si>
  <si>
    <t>Barnes, DKA; Arnold, RJ</t>
  </si>
  <si>
    <t>Ecology of subtropical hermit crabs in SW Madagascar: cluster structure and function</t>
  </si>
  <si>
    <t>QUIRIMBA ISLAND; SHELL-SELECTION; MANGROVE SWAMP; CLIBANARIUS-LAEVIMANUS; UTILIZATION PATTERNS; PAGURUS-LONGICARPUS; GASTROPOD SHELLS; MOZAMBIQUE; COEXISTENCE; PREDATION</t>
  </si>
  <si>
    <t>The Madagascar coast (both) has a higher density and diversity of hermit crabs than is known from any other localiy in the western Indian Ocean. Of the 20 species occurring at Anakao (S.W. Madagascar), I I aggregated into clusters, including all but one of the species above the subtidal zone. The mean number of hermit crabs and species in clusters varied with several spatial parameters and time. Over 80% of the community clustered in certain habitats in particular tidal zones, whilst as low as 3% clustered in others. The highest intensity of clustering with shore zone was coincident with peak numbers of of hermit crabs. The initiation and duration of clusters of hermit crabs above the eulittoral was driven by circadian rhythms, whilst those in the eulittoral were governed by tidal state. Clusters above and below the eulittoral were longer in duration, and those in the subtidal were more temporally variable than those above it. Certain pairs of species showed positive correlations of occurrence and (more rarely) of abundance, and all the correlations (of occurrence) of one, Clibanarius eurysternus, were negative. Positive correlations of occurrence were related to the degree of shell-use commonality between species pairs. Eulittoral species clustered with other individuals of approximately similar size and exchanged shells upon cluster disintegration. There was evidence of a dehydration-reduction function to shell clustering in addition to shell-exchange facilitation. The highly variable species-specific strategies of clustering may be important in alleviating both intra- and interspecific competition in assemblages of similar and highly abundant species.</t>
  </si>
  <si>
    <t>Natl Univ Ireland Univ Coll Cork, Dept Zool &amp; Anim Ecol, Cork, Ireland; British Antarctic Survey, Cambridge CB3 0ET, England; FRONTIER, London, England</t>
  </si>
  <si>
    <t>University College Cork; UK Research &amp; Innovation (UKRI); Natural Environment Research Council (NERC); NERC British Antarctic Survey</t>
  </si>
  <si>
    <t>Barnes, DKA (corresponding author), Natl Univ Ireland Univ Coll Cork, Dept Zool &amp; Anim Ecol, Cork, Ireland.</t>
  </si>
  <si>
    <t>DKAB@ucc.ie</t>
  </si>
  <si>
    <t>477PQ</t>
  </si>
  <si>
    <t>WOS:000171293800007</t>
  </si>
  <si>
    <t>Ikeda, T; Kanno, Y; Ozaki, K; Shinada, A</t>
  </si>
  <si>
    <t>Metabolic rates of epipelagic marine copepods as a function of body mass and temperature</t>
  </si>
  <si>
    <t>EXCRETION RATES; ANTARCTIC ZOOPLANKTON; PHOSPHATE EXCRETION; AMMONIA EXCRETION; GROWTH; SIZE; SEA; RESPIRATION; CALANUS</t>
  </si>
  <si>
    <t>Metabolic rates (oxygen consumption, ammonia excretion, phosphate excretion) have been calculated as a function of body mass (dry, carbon, nitrogen and phosphorus weights) and habitat temperature, using multiple regression. The metabolic data used for this analysis were species structured, collected from Arctic to Antarctic seas (temperature range: -1.7 degreesC to 29.0 degreesC). The data were further divided into geographical and/or seasonal groups (35 species and 43 data sets for oxygen consumption; 38 species and 58 data sets for ammonia excretion; 22 species and 31 data sets for phosphate excretion). The results revealed that the variance attributed to body mass and temperature was highest (93-96%) for oxygen consumption rates, followed by ammonia excretion rates (74-80%) and phosphate excretion rates (46-56%). Among the various body mass units, the best correlation was provided by the nitrogen unit, followed by the dry weight unit. The calculated Q(10) values varied slightly according to the choice of body mass units; overall ranges were 1.8-2.1 for oxygen consumption rates, 1.8-2.0 for ammonia excretion rates and 1.6-1.9 for phosphate excretion rates. The effects of body mass and temperature on the metabolic quotients (O:N, N:P, O:P) were insignificant in most cases. Although the copepod metabolic data used in the present analysis were for adult and pre-adult stages, possible applications of the resultant regression equations to predict the metabolic rates of naupliar and early copepodite stages are discussed. Finally, global patterns of net growth efficiency [growth (growth + metabolism)(-1)] of copepods were deduced by combining the present metabolic equation with Hirst and Lampitt's global growth equation for epipelagic marine copepods.</t>
  </si>
  <si>
    <t>Hokkaido Univ, Fac Fisheries Sci, Hakodate, Hokkaido 0410821, Japan</t>
  </si>
  <si>
    <t>Hokkaido University</t>
  </si>
  <si>
    <t>Hokkaido Univ, Fac Fisheries Sci, 3-1-1 Minato Cho, Hakodate, Hokkaido 0410821, Japan.</t>
  </si>
  <si>
    <t>tom@pop.fish.hokudai.ac.jp</t>
  </si>
  <si>
    <t>10.1007/s002270100608</t>
  </si>
  <si>
    <t>WOS:000171293800018</t>
  </si>
  <si>
    <t>Swadling, KM</t>
  </si>
  <si>
    <t>Population structure of two Antarctic ice-associated copepods, Drescheriella glacialis and Paralabidocera antarctica, in winter sea ice</t>
  </si>
  <si>
    <t>SYOWA STATION; WEDDELL SEA; CALANOIDA</t>
  </si>
  <si>
    <t>The spatial distribution and population structure of two dominant ice-associated copepods, Drescheriella glacialis and Paralabidocera antarctica, were studied during winter at nine locations in east Antarctic fast ice. These species accounted for at least 90% of the total metazoan abundance at each location. Abundances were high, reaching 175 individuals l(-1) (190,000 m(-2)) for D. glacialis and 660 l(-1) (901,000 m(-2)) for P. antarctica. These abundances were probably partly supported by the high biomass of ice-algae (Pearson correlation coefficient, r = 0.75), as indicated by chlorophyll-a concentrations (1.7-10.1 mug l(-1)). The population structures of each species suggested very different life-history strategies. All developmental stages of D. glacialis were isolated from the ice cores, including females with egg sacs, supporting the hypothesis that this species reproduces in the sea ice during winter. This strategy might assist D. glacialis in leading a continually colonising existence, whereby it responds opportunistically to the availability of favourable habitat patches. The populations of P. antarctica were composed primarily of nauplii (&gt; 99%), consistent with past observations of a synchronised life cycle for this species. The strong coupling of the developmental cycle of P. antarctica to the growth and decay of sea ice suggests that local extinctions might occur in areas where ice break-out is unpredictable.</t>
  </si>
  <si>
    <t>Univ Tasmania, Sch Zool, Hobart, Tas 7001, Australia</t>
  </si>
  <si>
    <t>Swadling, KM (corresponding author), Univ Tasmania, Sch Zool, GPO Box 252-5, Hobart, Tas 7001, Australia.</t>
  </si>
  <si>
    <t>k.swadling@utas.edu.au</t>
  </si>
  <si>
    <t>Swadling, Kerrie/0000-0002-7620-841X</t>
  </si>
  <si>
    <t>WOS:000171293800019</t>
  </si>
  <si>
    <t>Pinturier-Geiss, L; Laureillard, J; Riaux-Gobin, C; Fillaux, J; Saliot, A</t>
  </si>
  <si>
    <t>Lipids and pigments in deep-sea surface sediments and interfacial particles from the Western Crozet Basin</t>
  </si>
  <si>
    <t>lipid classes; phospholipid fatty acids; chlorophyll a; revival tests; Southern Ocean</t>
  </si>
  <si>
    <t>ISLAND SOUND SEDIMENTS; FATTY-ACID; COMMUNITY STRUCTURE; MARINE-SEDIMENTS; ANTARCTIC OCEAN; SOUTHERN-OCEAN; PHAEODACTYLUM-TRICORNUTUM; BENTHIC COMMUNITIES; AQUATIC ENVIRONMENT; MICROBIAL ECOLOGY</t>
  </si>
  <si>
    <t>Deep-sea sediment samples were collected in the Western Crozet Basin (Indian sector of the Southern Ocean) through Permanently Open Ocean Zone (POOZ), Polar Frontal Zone (PFZ) and Sub-Antarctic Zone (SAZ). Lipid class and fatty acid compositions were investigated to determine the sources and fate of organic matter in the first centimeter of sediment and, above this layer, in the fluff (when present) and particles in the overlying water. The total lipid content varied from 74 to 1033 mug l(-1) in the overlying particles and fluffs, and from 24 to 97 mug g(-1) dry mass (DM) in surficial sediments. Lipid composition was always dominated by phospholipids in the first centimeter of sediment and often in the overlying particles. The amount of phospholipids (labile compounds representative of fresh material) was compared to the amount of chlorophyll a (Chl a), another compound that is susceptible to rapid degradation. A strong N-S. gradient was observed in the distribution of these two compounds, which was attributed to the contrasting hydrodynamic of the study area. The high sedimentation rate in POOZ resulted in better preservation of CW a in this zone than in other zones of the Crozet Basin (PFZ and SAZ). Phospholipid fatty acids suggested the presence of viable as well as morphologically intact organisms, and these organisms consisted essentially of bacteria with some diatom cysts in the fluff of POOZ. These spores were able to grow in the culture, indicating that they were still viable. Despite the strong hydrodynamic variability, phospholipid fatty acids analysed from the deep-sea surficial sediments were never representative of plankton. This pointed to the extremely labile nature of the phospholipids originally present in planktonic material compared with Chl a, which was always found in overlying particles and surficial sediments. (C) 2001 Elsevier Science B.V. All rights reserved.</t>
  </si>
  <si>
    <t>Univ Paris 06, UMR 7094, Lab Biogeochim &amp; Chim Marines, F-75252 Paris 05, France; Lab Arago, UMR CNRS 7621, Lab Oceanog Biol, F-66650 Banyuls sur Mer, France</t>
  </si>
  <si>
    <t>Sorbonne Universite; Centre National de la Recherche Scientifique (CNRS); CNRS - National Institute for Earth Sciences &amp; Astronomy (INSU)</t>
  </si>
  <si>
    <t>Laureillard, J (corresponding author), Univ Paris 06, UMR 7094, Lab Biogeochim &amp; Chim Marines, Case Courrier 134,Tour 25-24,4 Pl Jussieu, F-75252 Paris 05, France.</t>
  </si>
  <si>
    <t>10.1016/S0304-4203(01)00047-0</t>
  </si>
  <si>
    <t>470CP</t>
  </si>
  <si>
    <t>WOS:000170853100001</t>
  </si>
  <si>
    <t>Sutherland, AL</t>
  </si>
  <si>
    <t>United States Antarctic Program research vessels</t>
  </si>
  <si>
    <t>MARINE TECHNOLOGY SOCIETY JOURNAL</t>
  </si>
  <si>
    <t>The U.S. Antarctic Program (USAP), funded and managed by the National Science Foundation (NSF), has provided dedicated research vessel support for four decades. This paper briefly reviews the impetus to provide such research support, discusses some of the vessels used over the past 40 years and concentrates on the present vessels the Nathaniel B. Palmer and the Laurence M. Gould.</t>
  </si>
  <si>
    <t>Natl Sci Fdn, Off Polar Programs, Arlington, VA 22230 USA</t>
  </si>
  <si>
    <t>National Science Foundation (NSF); NSF - Directorate for Geosciences (GEO); NSF - Office of Polar Programs (OPP)</t>
  </si>
  <si>
    <t>Sutherland, AL (corresponding author), Natl Sci Fdn, Off Polar Programs, 4201 Wilson Blvd, Arlington, VA 22230 USA.</t>
  </si>
  <si>
    <t>MARINE TECHNOLOGY SOC INC</t>
  </si>
  <si>
    <t>C/O I CLAYION MATTHEWS, 1828 L ST, NW, 9TH FL, WASHINGTON, DC 20036 USA</t>
  </si>
  <si>
    <t>0025-3324</t>
  </si>
  <si>
    <t>MAR TECHNOL SOC J</t>
  </si>
  <si>
    <t>Mar. Technol. Soc. J.</t>
  </si>
  <si>
    <t>FAL</t>
  </si>
  <si>
    <t>10.4031/002533201788057891</t>
  </si>
  <si>
    <t>Engineering, Ocean; Oceanography</t>
  </si>
  <si>
    <t>Engineering; Oceanography</t>
  </si>
  <si>
    <t>491WX</t>
  </si>
  <si>
    <t>WOS:000172134000006</t>
  </si>
  <si>
    <t>Berkson, JM; DuPree, GW</t>
  </si>
  <si>
    <t>United States Arctic research vessels</t>
  </si>
  <si>
    <t>Recent concerns with pollution and climate change in the Arctic have led to new monitoring and research programs that require the support of arctic research vessels. This paper reviews the status of U.S. surface and submersible research platforms with a focus on surface ships. During the Science Ice Expedition (SCI-CEX) program in the 1990s, U.S. Navy submarines were successfully used as research vessels and extensive oceanographic data were collected during under-ice transits. With the decommissioning of the Sturgeon-class submarines, future under-ice research cruises are uncertain and will depend on the availability of other ice-capable submarines or the development of high endurance automous underwater vehicles. For scientific work on surface research vessels the U.S. has two multi-mission polar icebreakers and a new icebreaking research vessel. In addition, University of Alaska has begun concept designs for replacing the R/V Alpha Helix with an intermediate-sized, ice-strengthened ship far oceanographic and fisheries research around the coast of Alaska. Two multi-mission Polar-class Coast Guard cutters, USCGC Polar Star and USCGC Polar Sea, are equipped to serve as oceanographic research vessels and have made important contributions to both Arctic and Antarctic science programs during the last twenty-five years. USCGC Healy, which was designed from the keel up as a research vessel and heavy icebreaker, is capable of supporting large multi-disciplinary studies. The ship, which will be operated as a dedicated Arctic research vessel, was delivered in November 1999, completed ice and science trials in July 2000, and conducted its first dedicated science cruise in the Eastern Arctic in the summer of 2001. The advent of Healy adds significantly to the U.S. science-support capability in the Arctic.</t>
  </si>
  <si>
    <t>COLUMBIA</t>
  </si>
  <si>
    <t>5565 STERRETT PLACE, STE 108, COLUMBIA, MD 21044 USA</t>
  </si>
  <si>
    <t>1948-1209</t>
  </si>
  <si>
    <t>10.4031/002533201788057882</t>
  </si>
  <si>
    <t>WOS:000172134000007</t>
  </si>
  <si>
    <t>Grossman, JN; Zipfel, J</t>
  </si>
  <si>
    <t>The Meteoritical Bulletin, No. 85, 2001 September</t>
  </si>
  <si>
    <t>Meteoritical Bulletin No. 85 lists information for 1376 newly classified meteorites, comprising 658 from Antarctica, 409 from Africa, 265 from Asia (262 of which are from Oman), 31 from North America, 7 from South America, 3 from Australia, and 3 from Europe. Information is provided for 11 falls (Dergaon, Dunbogan, Gujba, Independence, Itqiy, Moravka, Oued el Hadjar, Sayama, Sologne, Valera, and Worden). Noteworthy non-Antarctic specimens include 5 martian meteorites (Dar al Gani 876, Northwest Africa 480 and 817, and Sayh al Uhaymir 051 and 094); 6 lunar meteorites (Dhofar 081, 280, and 287, and Northwest Africa 479, 482, and 773); an ungrouped enstatite-rich meteorite (Itqiy); a Bencubbin-like meteorite (Gujba); 9 iron meteorites; and a wide variety of other interesting stony meteorites, including CH, CK, CM, CO, CR, CV, R, enstatite, and unequilibrated ordinary chondrites, primitive achondrites, HED achondrites, and ureilites.</t>
  </si>
  <si>
    <t>US Geol Survey, Mail Stop 954, Reston, VA 20192 USA; Max Planck Inst Chem, D-55020 Mainz, Germany</t>
  </si>
  <si>
    <t>United States Department of the Interior; United States Geological Survey; Max Planck Society</t>
  </si>
  <si>
    <t>US Geol Survey, Mail Stop 954, Reston, VA 20192 USA.</t>
  </si>
  <si>
    <t>jgrossman@usgs.gov</t>
  </si>
  <si>
    <t>1945-5100</t>
  </si>
  <si>
    <t>A293</t>
  </si>
  <si>
    <t>A322</t>
  </si>
  <si>
    <t>10.1111/j.1945-5100.2001.tb01542.x</t>
  </si>
  <si>
    <t>480LD</t>
  </si>
  <si>
    <t>WOS:000171462100012</t>
  </si>
  <si>
    <t>Lalas, C; Bradshaw, CJA</t>
  </si>
  <si>
    <t>Folklore and chimerical numbers: review of a millennium of interaction between fur seals and humans in the New Zealand region</t>
  </si>
  <si>
    <t>NEW ZEALAND JOURNAL OF MARINE AND FRESHWATER RESEARCH</t>
  </si>
  <si>
    <t>New Zealand fur seal; Arctocephalus forsteri; subsistence hunting; Maori; Moriori; commercial exploitation; Leslie matrix model; population estimates; population survey; fisheries interactions; tourism; te tikanga Maori o mahinga kai; management</t>
  </si>
  <si>
    <t>MAN-MADE DEBRIS; ARCTOCEPHALUS-FORSTERI; OTAGO PENINSULA; SOUTH-AUSTRALIA; MARINE MAMMALS; COMMERCIAL FISHERIES; BIRD ISLAND; POPULATION; ABUNDANCE; TUBERCULOSIS</t>
  </si>
  <si>
    <t>The increase in numbers and range expansion of New Zealand fur seals (Arctocephalus forsteri Lesson) in the New Zealand region has prompted many people to comment on their effects on the marine and coastal environments. Overall there are anomalies in the data describing the distribution and abundance of fur seals in the New Zealand region, and there is a need for a better understanding of the interactions with humans and the impacts on the New Zealand environment. The distribution resulting from the present pattern of re-colonisation differs from the perception of their distribution before decimation by humans. We hypothesise that the pristine distribution was temperate rather than subantarctic. Previously published records which have documented changes in the abundance and distribution of the species are shown to be wanting. The most controversial management issue is interaction with commercial fisheries where we conclude that neither of the extreme options, culling of seals nor closure of some fishing grounds, is justified. Other issues addressed include tourism, te tikanga Maori o mahinga kai (the customary use of wildlife by Maori), and impact of fur seals on the coastal environment. This species offers a rare and exciting opportunity to test the theoretical processes of population expansion that can be investigated as a natural experiment. We suggest that the current management policy should remain unchanged until the current paucity of information on the degree of interaction between fur seals and humans has been addressed.</t>
  </si>
  <si>
    <t>Univ Otago, Dept Zool, Dunedin, New Zealand</t>
  </si>
  <si>
    <t>University of Otago</t>
  </si>
  <si>
    <t>Bradshaw, CJA (corresponding author), Univ Tasmania, Sch Zool, Antarctic Wildlife Res Unit, GPO Box 252-05, Hobart, Tas 7001, Australia.</t>
  </si>
  <si>
    <t>Bradshaw, Corey J. A./A-1311-2008</t>
  </si>
  <si>
    <t>Bradshaw, Corey J. A./0000-0002-5328-7741</t>
  </si>
  <si>
    <t>SIR PUBLISHING</t>
  </si>
  <si>
    <t>WELLINGTON</t>
  </si>
  <si>
    <t>PO BOX 399, WELLINGTON, NEW ZEALAND</t>
  </si>
  <si>
    <t>0028-8330</t>
  </si>
  <si>
    <t>NEW ZEAL J MAR FRESH</t>
  </si>
  <si>
    <t>N. Z. J. Mar. Freshw. Res.</t>
  </si>
  <si>
    <t>10.1080/00288330.2001.9517017</t>
  </si>
  <si>
    <t>Fisheries; Marine &amp; Freshwater Biology; Oceanography</t>
  </si>
  <si>
    <t>Science Citation Index Expanded (SCI-EXPANDED); Social Science Citation Index (SSCI)</t>
  </si>
  <si>
    <t>494RB</t>
  </si>
  <si>
    <t>WOS:000172298700006</t>
  </si>
  <si>
    <t>Morris, M; Stanton, B; Neil, H</t>
  </si>
  <si>
    <t>Subantarctic oceanography around New Zealand: preliminary results from an ongoing survey</t>
  </si>
  <si>
    <t>Subantarctic Front; Subantarctic Mode Water; currents; water masses; hydrographic climatologies; seasonal cycle; water column stability; heat balance</t>
  </si>
  <si>
    <t>ANTARCTIC CIRCUMPOLAR CURRENT; SOUTHERN-OCEAN; VARIABILITY; PACIFIC</t>
  </si>
  <si>
    <t>An ongoing observational program focused on variability in the subantarctic currents and water masses around southern New Zealand was initiated in May 1998. This paper describes the preliminary results deduced from CTD (conductivity, temperature, depth) data collected during three hydrographic surveys, and moored current and temperature records between 1998 and 1999. An extensive archived data set has also been analysed to provide a hydrographic climatology of the region. The low-frequency circulation within the subantarctic zone is described, revealing previously unreported flow features: persistent but weak anticyclonic and cyclonic circulations over the Campbell Plateau and a strong cyclonic flow around the western edge of the Bounty Trough. Flow within the Subantarctic Front (SAF) is strong constrained by the New Zealand bathymetry; diverting to follow the south-eastern flanks of the Campbell Plateau and crossing to the Bounty Plateau, before separating to join the basin-scale circulation. The flow features deduced from recent data are consistent with the hydrographic climatology as well as mid-depth float trajectories. Subantarctic Mode Water (SAMW) is observed year-round over an extensive fraction of the subantarctic. zone: along the equatorward side of the SAF, over the Campbell Plateau, and flowing within the cyclonic circulation around the Bounty Trough. There is a marked cooling and freshening of SAMW between the deep water along the western flanks of Campbell Plateau and waters further east, consistent with a blocking of the eastward flow carrying warm and salty SAMW by the plateau. Earlier ideas that a substantial volume of SAMW is formed over the Campbell Plateau by deep vertical mixing (Heath 1981) are not substantiated by our data, which include seasonal observations of the upper water column.</t>
  </si>
  <si>
    <t>Natl Inst Water &amp; Atmospher Res Ltd, Wellington, New Zealand</t>
  </si>
  <si>
    <t>Morris, M (corresponding author), Natl Inst Water &amp; Atmospher Res Ltd, POB 1401, Wellington, New Zealand.</t>
  </si>
  <si>
    <t>10.1080/00288330.2001.9517018</t>
  </si>
  <si>
    <t>WOS:000172298700007</t>
  </si>
  <si>
    <t>Sutton, PJH; Roemmich, D</t>
  </si>
  <si>
    <t>Ocean temperature climate off north-east New Zealand</t>
  </si>
  <si>
    <t>East Auckland Current; ocean temperature variability; North Cape Eddy; Southern Oscillation Index</t>
  </si>
  <si>
    <t>ANTARCTIC CIRCUMPOLAR WAVE; VARIABILITY; CIRCULATION; PACIFIC</t>
  </si>
  <si>
    <t>The ocean temperature field off the north-east coast of New Zealand is studied to quantify the annual cycle and reveal the intra- and inter-annual variability. The data used are repeat expendable bathythermograph (XBT) sections between Auckland and either Suva or Honolulu which have been collected quarterly since 1986. These sections give temperature measurements between the surface and 800 m and Auckland and 30 degreesS from 1986 to August 1999. The mean and annual cycle are compared with those from the NOAA World Ocean Atlas (WOA98). The results are similar; however WOA98 lacks the horizontal resolution to fully discern the East Auckland Current and North Cape Eddy, while the XBT analysis lacks the temporal resolution to discern higher frequency intra-annual signals. The temperature variability in the mixed layer is dominated by the annual cycle, which accounts for 80-90% of the variance. The amplitude of the annual cycle diminishes rapidly with depth, from 2.8 degreesC at the surface, to c. 0.1 degreesC at 180 m. The phase of the annual cycle is retarded with depth, with peak temperatures occurring in February at the surface and in June/July at 180 m. Removing the annual cycle from the time series reveals the more subtle inter- and intra-annual variability. This variability is of the order of 1 degreesC in the upper 50 m, decreasing to 0.3 degreesC at 400-500 m. The surface layer was cold between 1991 and 1994 (c. 0.7 degreesC cooler than average), and 0.7 degreesC warmer than average in 1999. The deeper ocean shows a different signal, being up to 0.3 degreesC cooler in 1990-92, 0.3 degreesC warmer in 1998, and c. 0.2 degreesC warmer than average in 1999. The inter-annual mixed layer variability is highly correlated with the Southern Oscillation Index and also with inter-annual terrestrial air temperature and wind measurements from northern New Zealand. In contrast, at higher intra-annual frequencies, the mixed layer variability is not correlated with air and wind measurements. At these higher frequencies, the air temperature is better correlated with the sea surface temperature (SST) than with the bulk mixed layer temperature.</t>
  </si>
  <si>
    <t>Natl Inst Water &amp; Atmospher Res Ltd, Wellington, New Zealand; Univ Calif San Diego, Scripps Inst Oceanog, La Jolla, CA 92093 USA</t>
  </si>
  <si>
    <t>National Institute of Water &amp; Atmospheric Research (NIWA) - New Zealand; University of California System; University of California San Diego; Scripps Institution of Oceanography</t>
  </si>
  <si>
    <t>Sutton, PJH (corresponding author), Natl Inst Water &amp; Atmospher Res Ltd, POB 14901, Wellington, New Zealand.</t>
  </si>
  <si>
    <t>Sutton, Phil/0000-0003-2936-0918</t>
  </si>
  <si>
    <t>10.1080/00288330.2001.9517022</t>
  </si>
  <si>
    <t>WOS:000172298700011</t>
  </si>
  <si>
    <t>Bradford-Grieve, JM</t>
  </si>
  <si>
    <t>Two species of benthopelagic calanoid copepods of the genus Neoscolecithrix Canu, 1896 s.s. from New Zealand and the segregation of Cenognatha n. gen.</t>
  </si>
  <si>
    <t>Conference of the New-Zealand-Marine-Sciences-Society</t>
  </si>
  <si>
    <t>SEP 01-03, 1999</t>
  </si>
  <si>
    <t>VICTORIA UNIV, WELLINGTON, NEW ZEALAND</t>
  </si>
  <si>
    <t>VICTORIA UNIV</t>
  </si>
  <si>
    <t>Copepoda; Calanoida; benthopelagic; new species; new genus; Neoscolecithrix; Cenognatha; Tharybidae</t>
  </si>
  <si>
    <t>ANTARCTIC OCEAN</t>
  </si>
  <si>
    <t>Two species of benthopelagic calanoid Copepoda, Neoscolecithrix cf. magna (Grice, 1972) and N. ornata n. sp., are described from the upper slope off North Cape, New Zealand. Neoscolecithrix ornata is distinguished from other species of Neoscolecithrix Canu, 1896 s.s. that have a female leg 5 terminal segment with 4 spines (2 terminal and I on each border) principally by the transverse row of long, fine spines on the female genital double somite; and by the more squat terminal segment of leg 5 (length/width ratio about 3.7). This is the second time Neoscolecithrix has been recorded from New Zealand. A new genus, Cenognatha n. gen., is distinguished from Neoscolecithrix principally because: rostrum short (bearing 2 filaments); mandibular gnathobase masticatory margin with slender dorsal spinulose seta; maxilla endite 1 with 5 well-developed setae, endite 3 without brush-like sensory seta, endopod usually with 3 long worm-like sensory setae and 5 brush-like setae; posterodistal. border of basis of legs 1-3 without spines; distal segment of female leg 5 and its basis subequal in length; male leg 5 of similar lengths on both sides (styliform on right), endopod present at least on 1 side, 1-segmented and spine-like on right.</t>
  </si>
  <si>
    <t>Natl Inst Water &amp; Atmosphere Res Ltd, Wellington, New Zealand</t>
  </si>
  <si>
    <t>Bradford-Grieve, JM (corresponding author), Natl Inst Water &amp; Atmosphere Res Ltd, POB 14901, Wellington, New Zealand.</t>
  </si>
  <si>
    <t>Bradford-Grieve, Janet/0000-0002-3580-1217</t>
  </si>
  <si>
    <t>10.1080/00288330.2001.9517042</t>
  </si>
  <si>
    <t>521MX</t>
  </si>
  <si>
    <t>WOS:000173845300012</t>
  </si>
  <si>
    <t>Gray, JS</t>
  </si>
  <si>
    <t>Antarctic marine benthic biodiversity in a world-wide latitudinal context</t>
  </si>
  <si>
    <t>SPECIES-DIVERSITY; TAXONOMIC DIVERSITY; COMMUNITY STRUCTURE; GRADIENTS; PATTERNS; BIOGEOGRAPHY; CRITIQUE; AREA</t>
  </si>
  <si>
    <t>In the 1950s and 1960s, the first data sets were assembled to examine whether or not there was a latitudinal gradient of species richness in the sea. These data comprised very few species and were from very small areas. However, recent data from large species lists covering broad geographical ranges suggest strongly that there is a gradient of increasing species richness from the Arctic to the tropics. However, the Southern Ocean has high species richness and in the southern hemisphere there is no clear evidence of a cline of increasing richness from pole to tropic. The great richness of the Southern Ocean compared with the Arctic is probably due to its great age, the fact that it covers a much larger area and that it has higher structural heterogeneity formed by living organisms. The importance of area as a determinant of species richness needs to be studied in more detail since most studies have been confined to small areas. A number of hypotheses have been proposed to explain the species:area relationship and these are discussed. An alternative explanation for the latitudinal cline in the northern hemisphere is the energy-input hypothesis. but again this has not been adequately tested. Two studies on the relationship between local and regional species richness show a significant positive correlation. These findings suggest that local assemblages are not tightly organised and saturated with species but are open to recruitment from the regional species pool. Whether or not such a relationship holds in Antarctica is unknown. It is concluded that further studies of the Southern Ocean are likely to provide new findings fundamental to the new discipline of macroecology, which examines patterns and processes at the geographic scale.</t>
  </si>
  <si>
    <t>Univ Oslo, Inst Biol, N-0316 Oslo, Norway; City Univ, Dept Biol &amp; Chem, Kowloon, Hong Kong, Peoples R China</t>
  </si>
  <si>
    <t>University of Oslo; City University of Hong Kong</t>
  </si>
  <si>
    <t>Univ Oslo, Inst Biol, Pb 1064, N-0316 Oslo, Norway.</t>
  </si>
  <si>
    <t>j.s.gray@bio.uio.no</t>
  </si>
  <si>
    <t>10.1007/s003000100244</t>
  </si>
  <si>
    <t>474EC</t>
  </si>
  <si>
    <t>WOS:000171091800001</t>
  </si>
  <si>
    <t>Bluhm, BA; Brey, T; Klages, M; Arntz, WE</t>
  </si>
  <si>
    <t>Occurrence of the autofluorescent pigment, lipofuscin, in polar crustaceans and its potential as an age marker</t>
  </si>
  <si>
    <t>FRESH-WATER CRAYFISH; FLUORESCENT MORPHOLOGICAL LIPOFUSCIN; AMPHIPOD EURYTHENES-GRYLLUS; WALDECKIA-OBESA CHEVREUX; KRILL EUPHAUSIA-SUPERBA; EASTERN WEDDELL SEA; ANTARCTIC KRILL; POPULATION-DYNAMICS; HOMARUS-GAMMARUS; SHRIMP DECAPODA</t>
  </si>
  <si>
    <t>In crustaceans. the lack of reliable methods often prevents the determination of individual age. The quantification of the autofluorescent age pigment, lipofuscin. has revealed promising results in boreal and tropical species. We studied the presence of morphological lipofuscin and its possible application as an age marker in five Arctic and five Antarctic species. comprising decapods, amphipods and a euphausiid. Lipofuscin granules were located in the brain, using confocal fluorescence microscopy, and quantified from digital images. The pigment was found in 94 of 100 individuals and in all 10 species, and granules occurred in easily detectable amounts in 5 species. Two scavenging amphipod species, the Antarctic Waldeckia obesa and the Arctic Eurythenes gryllus, revealed the most conspicuous and numerous granules. There was a broad, though weak, correlation of lipofuscin concentration with individual body size within a species, but not with absolute body size of one species compared to another. In larvae of the decapod Chorismus antarcticus, lipofuscin accumulation was quantified over the 1st 4 months after larval release. Morphological lipofuscin is a potential index of age in those investigated species with a sufficient accumulation rate of the pigment.</t>
  </si>
  <si>
    <t>Alfred Wegener Inst Polar &amp; Marine Res, Columbusstr, D-27515 Bremerhaven, Germany.</t>
  </si>
  <si>
    <t>fsbab@uaf.edu</t>
  </si>
  <si>
    <t>; Bluhm, Bodil/E-7165-2015</t>
  </si>
  <si>
    <t>Brey, Thomas/0000-0002-6345-2851; Bluhm, Bodil/0000-0002-4584-7796</t>
  </si>
  <si>
    <t>10.1007/s003000100258</t>
  </si>
  <si>
    <t>WOS:000171091800002</t>
  </si>
  <si>
    <t>Dauby, P; Scailteur, Y; Chapelle, G; De Broyer, C</t>
  </si>
  <si>
    <t>Potential impact of the main benthic amphipods on the eastern Weddell Sea shelf ecosystem (Antarctica)</t>
  </si>
  <si>
    <t>FEEDING-BEHAVIOR; MCMURDO-SOUND; CRUSTACEA; ACANTHONOTOZOMATIDAE</t>
  </si>
  <si>
    <t>As they represent one of the most diversified taxonomic groups on Antarctic bottoms, amphipods are likely to play a complex role in biogeochemical fluxes that occur within benthic ecosystems. The aim of this paper is to present, using both digestive tract analyses and relative species abundance data, the impact of amphipod feeding on different potential preys of the Weddell Sea. The study is based on data obtained for 29 representative amphipod species collected at 130 stations distributed along the eastern shelf of the Weddell Sea (depth range: 60-2,000 m) during three summer cruises, from 1989 to 1998. Sedimenting plankton particles (10-27%), crustaceans (22-32%) and fish carrion (5-18%) are the main food resources. Other abundant potential preys, such as molluscs or tunicates, do not seem to be consumed. Variations in the proportions of the different preyed food items are observed, mainly related to differences in relative amphipod species composition in samples. Presented results will help in refining ecological models of the prospected area. but also underline the need for accurate and reliable measurements of the feeding rates of Antarctic benthic organisms.</t>
  </si>
  <si>
    <t>Inst Royal Sci Nat Belgique, IRSCNB, B-1000 Brussels, Belgium</t>
  </si>
  <si>
    <t>Dauby, P (corresponding author), Inst Royal Sci Nat Belgique, IRSCNB, Rue Vautier, B-1000 Brussels, Belgium.</t>
  </si>
  <si>
    <t>WOS:000171091800004</t>
  </si>
  <si>
    <t>Kowalke, J; Tatián, M; Sahade, R; Arntz, W</t>
  </si>
  <si>
    <t>Production and respiration of Antarctic ascidians</t>
  </si>
  <si>
    <t>KING-GEORGE-ISLAND; MARINE BENTHIC INVERTEBRATES; SOUTH-SHETLAND-ISLANDS; POPULATION-DYNAMICS; LATERNULA-ELLIPTICA; POTTER COVE; GROWTH; ECHINODERMATA; METABOLISM; ECHINOIDEA</t>
  </si>
  <si>
    <t>Solitary ascidians are the most abundant group of mega-epibenthic animals below 20 m in Potter Cove, King George Island. The present work deals with aspects of growth and respiration to explain this dominance. High growth rates and longevity (maximum ages between 3.1 and 10.6 years) make them effective colonisers after destructive events. Low basal metaboism (between 0.023 and 0.057 ml O-2 h(-1) per g ash-free dry mass, T = 1 degreesC) elevates the scope for growth. These properties, together with other factors, allow these animals to tolerate disturbances better than other filter-feeding groups.</t>
  </si>
  <si>
    <t>Alfred Wegener Inst Polar &amp; Marine Res, D-27515 Bremerhaven, Germany; Univ Nacl Cordoba, Catedra Anat Comparada, RA-5000 Cordoba, Argentina</t>
  </si>
  <si>
    <t>Helmholtz Association; Alfred Wegener Institute, Helmholtz Centre for Polar &amp; Marine Research; National University of Cordoba</t>
  </si>
  <si>
    <t>Kowalke, J (corresponding author), Alfred Wegener Inst Polar &amp; Marine Res, Columbsstr, D-27515 Bremerhaven, Germany.</t>
  </si>
  <si>
    <t>jkowalke@t-online.de</t>
  </si>
  <si>
    <t>Sahade, Ricardo/0000-0001-5650-8135; Tatian, Marcos/0000-0002-9092-9184</t>
  </si>
  <si>
    <t>10.1007/s003000100266</t>
  </si>
  <si>
    <t>WOS:000171091800005</t>
  </si>
  <si>
    <t>Isla, E; Palanques, A; Alvà, V; Puig, P; Guillén, J</t>
  </si>
  <si>
    <t>Fluxes and composition of settling particles during summer in an Antarctic shallow bay of Livingston Island, South Shetlands</t>
  </si>
  <si>
    <t>WESTERN BRANSFIELD STRAIT; SEDIMENT TRAP; MATTER; FJORD</t>
  </si>
  <si>
    <t>A moored experiment using a sediment trap was conducted at Johnson's Dock, Livingston Island from 11 December 1997 to 24 February 1998, as part of the EASIZ Programme activities carried out at the Juan Carlos I Spanish Antarctic base. Total mass vertical fluxes ranged from 23,235 mg m(-2) day(-1) to 89,073 mg m(-2) day(-1) during the experiment, with a mean value of 42.857 mg m(-2) day(-1). Lithogenic components were the major contributors to the settling particulate flux. Organic components accounted for a low fraction of the settling particulate matter, showing an inverse relation to total mass flux. Nevertheless. the fluxes of organic components at Johnson's Dock are as high as in the open sea. The increases in chlorophyll a in water were related to increases in the organic carbon content, which dominated over inorganic carbon during the whole experiment. Calcium carbonate particles settle without being significantly altered in the water column and are dissolved in the upper centimetres of the bottom sediments, once they are buried. The settling material consisted of fine particles, with coarse clasts transported by icebergs. Antarctic shallow environments receive important sediment fluxes from the erosion and transport action of ice.</t>
  </si>
  <si>
    <t>CSIC, Inst Ciencias Mar, Barcelona 08039, Spain</t>
  </si>
  <si>
    <t>Consejo Superior de Investigaciones Cientificas (CSIC); CSIC - Centro Mediterraneo de Investigaciones Marinas y Ambientales (CMIMA); CSIC - Instituto de Ciencias del Mar (ICM)</t>
  </si>
  <si>
    <t>Isla, E (corresponding author), CSIC, Inst Ciencias Mar, Passeig Joan Borbo S-N, Barcelona 08039, Spain.</t>
  </si>
  <si>
    <t>Guillén, Jorge/E-6564-2010; Puig, Pere/E-5422-2013; Palanques, Albert/C-2661-2013</t>
  </si>
  <si>
    <t>Guillén, Jorge/0000-0001-7162-8135; Puig, Pere/0000-0001-6189-5504; Palanques, Albert/0000-0003-2544-2342; Isla, Enrique/0000-0003-4959-6936</t>
  </si>
  <si>
    <t>10.1007/s003000100267</t>
  </si>
  <si>
    <t>WOS:000171091800006</t>
  </si>
  <si>
    <t>Robertson, RF; El-Haj, AJ; Clarke, A; Peck, LS; Taylor, EW</t>
  </si>
  <si>
    <t>The effects of temperature on metabolic rate and protein synthesis following a meal in the isopod Glyptonotus antarcticus Eights (1852)</t>
  </si>
  <si>
    <t>DYNAMIC ACTION SDA; APPARENT HEAT INCREMENT; OXYGEN-CONSUMPTION; SUPRALITTORAL ISOPOD; CRUSTACEAN MUSCLE; LIGIA-PALLASII; RAINBOW-TROUT; BODY-SIZE; FISH; EFFICIENCY</t>
  </si>
  <si>
    <t>Seawater temperatures in Antarctica are low, and typically rather stable seasonally. Associated with this, many marine invertebrates have low resting metabolic rates with a limited aerobic scope, and are often stenothermal. We have therefore investigated the response of metabolic rate and protein synthesis to feeding in the large Antarctic isopod. Glyptonotus antarcticus, at two different temperatures. The resting oxygen consumption of starved Glyptonotus was low, and comparable with a previous measure for this species and other Antarctic marine invertebrates. Resting metabolic rate exhibited a Q(10) of 2.18 between 0 degreesC and +4 degreesC. After feeding at 0 degreesC, oxygen consumption increased by a factor of 2.5 and ammonia excretion eightfold, before returning to prefeeding levels, in a classic if somewhat prolonged SDA (specific dynamic action) response. At 4 degreesC, the postprandial factorial increase in both oxygen uptake and ammonia excretion was reduced. Whole-body protein synthesis rates for prefeeding animals showed a similar Q10 to oxygen consumption. Rates of synthesis increased significantly after feeding, and there was an associated drop in the ON ratio, indicating that protein formed the primary metabolic substrate during the SDA response. The contribution of the costs of protein synthesis to the overall SDA was estimated to be 68%, although this estimate is based on a previous estimate of the costs of protein synthesis in Glyptonotus which is higher than typical values for temperate-water crustaceans. The fraction of ingested energy utilised in the SDA was, however, low (2-3%). Further work is needed to determine whether these unusual features in Glyptonotus are typical of polar marine invertebrates in general.</t>
  </si>
  <si>
    <t>British Antarctic Survey, Cambridge CB3 0ET, England; Robert Gordon Univ, Sch Appl Sci, Aberdeen AB25 1HG, Scotland; Keele Univ, Postgrad Med Sch, Ctr Sci &amp; Technol Med, Stoke On Trent ST4 7QB, Staffs, England; Univ Birmingham, Sch Biosci, Birmingham B15 2TT, W Midlands, England</t>
  </si>
  <si>
    <t>UK Research &amp; Innovation (UKRI); Natural Environment Research Council (NERC); NERC British Antarctic Survey; Robert Gordon University; Keele University; University of Birmingham</t>
  </si>
  <si>
    <t>Andrew.Clarke@bas.ac.uk</t>
  </si>
  <si>
    <t>WOS:000171091800007</t>
  </si>
  <si>
    <t>Bracher, AU; Tilzer, MM</t>
  </si>
  <si>
    <t>Underwater light field and phytoplankton absorbance in different surface water masses of the Atlantic sector of the Southern Ocean</t>
  </si>
  <si>
    <t>BIOOPTICAL PROPERTIES; SPECTRAL ABSORPTION; PHOTOSYNTHESIS; FLUORESCENCE; COEFFICIENT; GROWTH; IMPACT; MATTER; MODEL</t>
  </si>
  <si>
    <t>Spectral water transparency and phytoplankton light absorbance were studied in the Atlantic sector of the Southern Ocean during the Southern Ocean JGOFS ANT XIII/2 cruise in early austral summer 1995/1996. The study area comprised three zones, which differed markedly with respect to their hydrographic and planktological characteristics: the Antarctic Polar Frontal Zone with adiatom bloom, the Antarctic Circumpolar Current outside frontal systems with phytoplankton-poor water and a higher flagellate abundance than in the other two areas, and the marginal ice zone with a Phaeocystis bloom. The influence of phytoplankton on spectral water transparency was assessed by two independent procedures: the pigment-specific beam absorption coefficient, a(phi)*[lambda], at all stations, as estimated by spectroscopy of in vivo light absorption of plankton on glass fibre filters, and the pigment-specific light attenuation, (k(C)[lambda]), as derived by regression analysis of spectral in situ vertical light attenuation coefficients in the sea against concomitant pigment concentrations. Values of a phi*[lambda] and vertical profiles of light attenuation by phytoplankton exhibited regional differences that corresponded with the three zones from which samples a been collected. These differences can be related to the specific characteristics of the three zones with respect to cell size distribution, pigment composition and biomass. The observed variations in a phi*[lambda] values should be considered when oceanic primary production is to be estimated by biooptical modelling.</t>
  </si>
  <si>
    <t>Univ Bremen, Inst Environm Phys, FB 1,POB 330440, D-28334 Bremen, Germany.</t>
  </si>
  <si>
    <t>bracher@uni-bremen.de</t>
  </si>
  <si>
    <t>Bracher, Astrid/B-7805-2013; Bracher, Astrid/I-2672-2013</t>
  </si>
  <si>
    <t>Bracher, Astrid/0000-0003-3025-5517</t>
  </si>
  <si>
    <t>10.1007/s003000100269</t>
  </si>
  <si>
    <t>WOS:000171091800008</t>
  </si>
  <si>
    <t>Suzuki, H; Sasaki, H; Fukuchi, M</t>
  </si>
  <si>
    <t>Short-term variability in the flux of rapidly sinking particles in the Antarctic marginal ice zone</t>
  </si>
  <si>
    <t>PARTICULATE ORGANIC-CARBON; WEDDELL SEA; SOUTHERN-OCEAN; PHYTOPLANKTON BLOOM; PRIMARY PRODUCTIVITY; BELLINGSHAUSEN SEA; BRANSFIELD STRAIT; PLANKTON BIOMASS; ATLANTIC SECTOR; ROSS SEA</t>
  </si>
  <si>
    <t>A sediment trap deployment was made at a station (64 degrees 42 'S, 139 degrees 59 'E) at five depths (537, 796, 1,259, 1,722, 2,727 m) in the marginal ice zone (MIZ) of the Antarctic Ocean during a summer productive period from 26 December 1994 to 20 January 1995. This aim of the study was to reveal a possible occurrence of a sporadic bloom in surface layers and to evaluate the role of fast-sinking particles in transportation processes of bloom-derived material down to mesopelagic and bathypelagic layers. During the observation, a marked flux increase (70.5 mg C m(-2) day(-1), 7.7 mg N m(-2) day(-1)) was observed at the depth of 537 rn on 7-9 January. The increased flux at 537 m decreased with depth and time. The same mass of sinking particles forming the flux maximum at each depth sank down from the shallowest trap (537 m) to the deepest trap (2,727 m) within 4-11 days, indicating that these particles were transported downward to the bottom with the sinking rate of &gt; 200 m day(-1). Collected particles were composed of two major particle fractions; one was dominated by fecal pellets of macrozooplankton (mainly Euphausia super a) with relatively fast sinking rates (FSP; fast-sinking particles) and the other by minute diatoms of Fragilariopsis curta with slow sinking rates (SSP; slowly sinking particles). According to the comparison of time depth changes of these two fractions, the SSP had unexpectedly faster sinking rates comparable with the FSP during the periods of maximum fluxes. probably indicating the SSP were transformed from the FSP during sinking. The present result strongly suggests that a local bloom of F. curta and intensified zooplankton grazing activities occurred in surface layers in a few days in the MIZ, and then the egested fecal pellets were rapidly transported downward with fragmentation processes into small-sized minute particles in mesopelagic and bathypelagic layers.</t>
  </si>
  <si>
    <t>Ishinomaki Senshu Univ, Fac Sci &amp; Technol, Ishinomaki, Miyagi 9868580, Japan; Natl Inst Polar Res, Itabashi Ku, Tokyo 1738185, Japan</t>
  </si>
  <si>
    <t>Research Organization of Information &amp; Systems (ROIS); National Institute of Polar Research (NIPR) - Japan</t>
  </si>
  <si>
    <t>Suzuki, H (corresponding author), Ishinomaki Senshu Univ, Fac Sci &amp; Technol, Ishinomaki, Miyagi 9868580, Japan.</t>
  </si>
  <si>
    <t>suzuki@isenshu-u.ac.jp</t>
  </si>
  <si>
    <t>10.1007/s003000100271</t>
  </si>
  <si>
    <t>WOS:000171091800009</t>
  </si>
  <si>
    <t>Habitat use, diet and body size of Heard Island weevils</t>
  </si>
  <si>
    <t>ANTARCTIC MARION ISLAND; PRINCE-EDWARD-ISLANDS; JEANNEL COLEOPTERA; CURCULIONIDAE; ECTOTHERMS; TEMPERATURE; PATTERNS; ECOLOGY; BIOLOGY; NUMBER</t>
  </si>
  <si>
    <t>Habitat use, diet and body-size variation are examined in weevils from Heard Island. with specific attention being given to the Ectemnorhinus viridis species complex. E. viridis shows marked altitudinal variation in body size and vestiture, but there are no consistent associations between body size and diet. nor are there consistent among-individual differences in conventional taxonomic characters. Thus, the status of E. viridis as a single, variable species is maintained. This species occurs from sea level to 600 rn and it feeds on vascular plants and bryophytes. Canonopsis sericeus also feeds on bryophytes and vascular plants and occurs over a narrower altitudinal range. Palirhoeus eatoni is restricted to the surpralittoral zone where it feeds on marine algae and lichens. Bothrometopus brei,is and B. gracilipes both feed on cryptogams, with the former species occurring from sea level to 450 m. and the latter from 50 to 550 m above sea level. In all species, males are smaller than females and there is a size cline such that populations from higher elevations are smaller than those at lower altitudes. This cline is the reverse of that found on the Prince Edward Islands which, unlike Heard Island, lie to the north of the Antarctic Polar Frontal Zone. This difference in body-size clines between weevils on the two island groups is ascribed to the shorter growing season on the colder Heard Island. The information presented here supports previous ideas regarding the evolution of the Ectemnorhinus-group of weevils on the South Indian Ocean Province Islands, although it suggests that subsequent tests of these hypotheses would profit from the inclusion of molecular systematic work.</t>
  </si>
  <si>
    <t>Univ Pretoria, Dept Zool &amp; Entomol, ZA-0002 Pretoria, South Africa; Univ Queensland, Dept Bot, Brisbane, Qld 4072, Australia</t>
  </si>
  <si>
    <t>University of Pretoria; University of Queensland</t>
  </si>
  <si>
    <t>Chown, SL (corresponding author), Univ Pretoria, Dept Zool &amp; Entomol, ZA-0002 Pretoria, South Africa.</t>
  </si>
  <si>
    <t>Chown, Steven/ABD-7646-2021; Chown, Steven L/H-3347-2011</t>
  </si>
  <si>
    <t>WOS:000171091800010</t>
  </si>
  <si>
    <t>Long, A</t>
  </si>
  <si>
    <t>Mid-Holocene sea-level change and coastal evolution</t>
  </si>
  <si>
    <t>PROGRESS IN PHYSICAL GEOGRAPHY-EARTH AND ENVIRONMENT</t>
  </si>
  <si>
    <t>LAST GLACIAL MAXIMUM; ANTARCTIC ICE; SEDIMENTARY EVOLUTION; LATE PLEISTOCENE; RIVER MURRAY; REEF GROWTH; DISKO BUGT; HOLOCENE; ESTUARY; HISTORY</t>
  </si>
  <si>
    <t>Univ Durham, Dept Geog, Environm Res Ctr, Durham DH1 3LE, England</t>
  </si>
  <si>
    <t>Durham University</t>
  </si>
  <si>
    <t>Long, A (corresponding author), Univ Durham, Dept Geog, Environm Res Ctr, Durham DH1 3LE, England.</t>
  </si>
  <si>
    <t>Long, Antony/0000-0002-7605-1205</t>
  </si>
  <si>
    <t>SAGE PUBLICATIONS LTD</t>
  </si>
  <si>
    <t>1 OLIVERS YARD, 55 CITY ROAD, LONDON EC1Y 1SP, ENGLAND</t>
  </si>
  <si>
    <t>0309-1333</t>
  </si>
  <si>
    <t>1477-0296</t>
  </si>
  <si>
    <t>PROG PHYS GEOG</t>
  </si>
  <si>
    <t>Prog. Phys. Geogr.</t>
  </si>
  <si>
    <t>10.1177/030913330102500307</t>
  </si>
  <si>
    <t>465BW</t>
  </si>
  <si>
    <t>WOS:000170569400007</t>
  </si>
  <si>
    <t>Gerike, U; Danson, MJ; Hough, DW</t>
  </si>
  <si>
    <t>Cold-active citrate synthase: mutagenesis of active-site residues</t>
  </si>
  <si>
    <t>citrate synthase; cold activity; mutagenesis; thermostability</t>
  </si>
  <si>
    <t>CRYSTAL-STRUCTURE; PSYCHROPHILIC ENZYMES; ANTARCTIC BACTERIUM; ADAPTATION; PARAMETERS; RESOLUTION; DEHYDROGENASE; FLEXIBILITY; ELASTASE; ARCHAEON</t>
  </si>
  <si>
    <t>A comparison of the crystal structure of the dimeric enzyme citrate synthase from the psychrophilic Arthrobacter strain DS2-3R with that of the structurally homologous enzyme from the hyperthermophilic Pyrococcus furiosus reveals a significant difference in the accessibility of their active sites to substrates. In this work, we investigated the possible role in cold activity of the greater accessibility of the Arthrobacter citrate synthase. By site-directed mutagenesis, we replaced two alanine residues at the entrance to the active site with an arginine and glutamate residue, respectively, as found in the equivalent positions of the Pyrococcus enzyme Also, we introduced a loop into the active site of the psychrophilic citrate synthase, again mimicking the situation in the hyperthermophilic enzyme. Analysis of the thermoactivity and thermostability of the mutant enzymes reveals that cold activity is not significantly compromised by the mutations, but rather the affinity for one of the substrates, acetyl-CoA, is dramatically increased. Moreover, one mutant (Loop insertion/K313L/A361R) has an increased thermostability but a reduced temperature optimum for catalytic activity. This unexpected relationship between stability and activity is discussed with respect to the nature of the dependence of catalytic activity on temperature.</t>
  </si>
  <si>
    <t>Univ Bath, Ctr Extremophile Res, Dept Biol &amp; Biochem, Bath BA2 7AY, Avon, England</t>
  </si>
  <si>
    <t>University of Bath</t>
  </si>
  <si>
    <t>Univ Bath, Ctr Extremophile Res, Dept Biol &amp; Biochem, Bath BA2 7AY, Avon, England.</t>
  </si>
  <si>
    <t>m.j.danson@bath.ac.uk</t>
  </si>
  <si>
    <t>10.1093/protein/14.9.655</t>
  </si>
  <si>
    <t>496CU</t>
  </si>
  <si>
    <t>WOS:000172378900006</t>
  </si>
  <si>
    <t>Burton, MG; Storey, JWV; Ashley, MCB</t>
  </si>
  <si>
    <t>Science goals for Antarctic infrared telescopes</t>
  </si>
  <si>
    <t>PUBLICATIONS OF THE ASTRONOMICAL SOCIETY OF AUSTRALIA</t>
  </si>
  <si>
    <t>Antarctica; site testing; telescopes; instrumentation : miscellaneous; infrared : general; stars : formation; galaxies : formation; planetary systems</t>
  </si>
  <si>
    <t>SOUTH-POLE; SKY BRIGHTNESS; PLATEAU</t>
  </si>
  <si>
    <t>Over the past few years, site-testing at the South Pole has revealed conditions that are uniquely favourable for infrared astronomy. In particular, the exceptionally low sky brightness throughout the near- and mid-infrared leads to the possibility of a modest-sized telescope achieving comparable sensitivity to that of existing 8-10 metre class telescopes. An 8 metre Antarctic telescope, if constructed, would yield performance that would be unrivalled until the advent of the NGST. In this paper we review the scientific potential of infrared telescopes in Antarctica, and discuss their complementarity with existing 8-10,metre class telescopes and future proposed space telescopes. In particular, we discuss the role that a 2 metre class infrared telescope plays in future plans for the development of an observatory on the Antarctic plateau.</t>
  </si>
  <si>
    <t>Univ New S Wales, Sch Phys, Joint Australian Ctr Astrophys Res Antarctica, Sydney, NSW 2052, Australia</t>
  </si>
  <si>
    <t>University of New South Wales Sydney</t>
  </si>
  <si>
    <t>Burton, MG (corresponding author), Univ New S Wales, Sch Phys, Joint Australian Ctr Astrophys Res Antarctica, Sydney, NSW 2052, Australia.</t>
  </si>
  <si>
    <t>Burton, Michael/0000-0001-7289-1998; Ashley, Michael/0000-0003-1412-2028</t>
  </si>
  <si>
    <t>C S I R O PUBLISHING</t>
  </si>
  <si>
    <t>COLLINGWOOD</t>
  </si>
  <si>
    <t>150 OXFORD ST, PO BOX 1139, COLLINGWOOD, VICTORIA 3066, AUSTRALIA</t>
  </si>
  <si>
    <t>1323-3580</t>
  </si>
  <si>
    <t>PUBL ASTRON SOC AUST</t>
  </si>
  <si>
    <t>Publ. Astron. Soc. Aust.</t>
  </si>
  <si>
    <t>10.1071/AS01026</t>
  </si>
  <si>
    <t>489DP</t>
  </si>
  <si>
    <t>WOS:000171977000007</t>
  </si>
  <si>
    <t>Hodell, DA; Kanfoush, SL; Shemesh, A; Crosta, X; Charles, CD; Guilderson, TP</t>
  </si>
  <si>
    <t>Abrupt cooling of Antarctic surface waters and sea ice expansion in the South Atlantic sector of the Southern Ocean at 5000 cal yr B.P</t>
  </si>
  <si>
    <t>Holocene; Neoglaciation; South Atlantic; Southern Ocean; ice-rafted detritus; stable isotopes</t>
  </si>
  <si>
    <t>RADIOCARBON AGE CALIBRATION; ISOTOPIC COMPOSITION; LAST GLACIATION; BIOGENIC SILICA; NORTH-ATLANTIC; EL-NINO; CLIMATE; HOLOCENE; RECORDS; PERIOD</t>
  </si>
  <si>
    <t>Antarctic surface waters were warm and ice free between 10,000 and 5000 cal yr B.P., as judged from ice-rafted debris and microfossils in a piston core at 53 degreesS in the South Atlantic. This evidence shows that about 5000 cal yr B.P., sea surface temperatures cooled, sea ice advanced, and the delivery of ice-rafted detritus (IRD) to the subantarctic South Atlantic increased abruptly. These changes mark the end of the Hypsithermal and onset of Neoglacial conditions. They coincide with an early Neoglacial advance of mountain glaciers in South America and New Zealand between 5400 and 4900 cal yr B.P., rapid middle Holocene climate changes inferred from the Taylor Dome Ice Core (Antarctica), cooling and increased IRD in the North Atlantic, and the end of the African humid period. The near synchrony and abruptness of all these climate changes suggest links among the tropics and both poles that involved nonlinear response to gradual changes in Northern Hemisphere insolation. Sea ice expansion in the Southern Ocean may have provided positive feedback that hastened the end of the Hypsithermal and African humid periods in the middle Holocene. (C) 2001 University of Washington.</t>
  </si>
  <si>
    <t>Univ Florida, Dept Geol Sci, Gainesville, FL 32611 USA; Weizmann Inst Sci, Dept Environm Sci &amp; Energy Res, IL-76100 Rehovot, Israel; Univ Calif San Diego, Scripps Inst Oceanog, La Jolla, CA 92093 USA; Univ Calif Lawrence Livermore Natl Lab, Livermore, CA 94550 USA</t>
  </si>
  <si>
    <t>State University System of Florida; University of Florida; Weizmann Institute of Science; University of California System; University of California San Diego; Scripps Institution of Oceanography; United States Department of Energy (DOE); Lawrence Livermore National Laboratory; University of California System</t>
  </si>
  <si>
    <t>Hodell, DA (corresponding author), Univ Florida, Dept Geol Sci, Gainesville, FL 32611 USA.</t>
  </si>
  <si>
    <t>Guilderson, Thomas/0000-0001-9371-7059; Hodell, David/0000-0001-8537-1588</t>
  </si>
  <si>
    <t>10.1006/qres.2001.2252</t>
  </si>
  <si>
    <t>472XW</t>
  </si>
  <si>
    <t>WOS:000171011100007</t>
  </si>
  <si>
    <t>Watkins, NW; Bharmal, NA; Clilverd, MA; Smith, AJ</t>
  </si>
  <si>
    <t>Comparison of VLF sferics intensities at Halley, Antarctica, with tropical lightning and temperature</t>
  </si>
  <si>
    <t>RADIO SCIENCE</t>
  </si>
  <si>
    <t>EL-NINO; SCHUMANN RESONANCE; NOISE; KHZ</t>
  </si>
  <si>
    <t>We compare measurements for 1998 of VLF sferics-generated noise power at Halley, Antarctica, with the predictions of the long wave noise prediction (LNP) noise model. We compare the highest-ranked predicted sources of radio noise for Halley from LNP with the observed lightning flash rates in January and July 1998 observed by the Lightning Imaging Sensor (LIS) instrument on the Tropical Rainfall Measurement Mission (TRMM). In both cases we find better agreement between LNP and the measurements in southern winter than those in southern summer. We compare an anomaly time series derived from VLF power with an analogous temperature anomaly series. We find evidence of a change in measured power in 1998 compared to previous years, suggesting that the tropical temperature signal of the strong El Nino of 1997-1998 may be detectable in VLF power measurements at Halley. Assuming that such an event and a single temperature station can be used to calibrate VLF measurements as a tropical thermometer, we confirm previous estimates that long-term changes in tropical noise measured at Halley are consistent with a tropical temperature rise of the order of similar to 1 degreesC over 25 years.</t>
  </si>
  <si>
    <t>Watkins, NW (corresponding author), British Antarctic Survey, NERC, Madingley Rd, Cambridge CB3 0ET, England.</t>
  </si>
  <si>
    <t>Watkins, Nicholas Wynn/C-5140-2008; Watkins, Nick/GPX-7439-2022</t>
  </si>
  <si>
    <t>Watkins, Nicholas Wynn/0000-0003-4484-6588; Watkins, Nick/0000-0003-4484-6588</t>
  </si>
  <si>
    <t>0048-6604</t>
  </si>
  <si>
    <t>RADIO SCI</t>
  </si>
  <si>
    <t>Radio Sci.</t>
  </si>
  <si>
    <t>10.1029/2000RS002367</t>
  </si>
  <si>
    <t>Astronomy &amp; Astrophysics; Geochemistry &amp; Geophysics; Meteorology &amp; Atmospheric Sciences; Remote Sensing; Telecommunications</t>
  </si>
  <si>
    <t>482HN</t>
  </si>
  <si>
    <t>WOS:000171570900018</t>
  </si>
  <si>
    <t>Hill, RS; Macphail, MK; Jordan, GJ</t>
  </si>
  <si>
    <t>Macrofossils associated with the fossil fern spore Cyatheacidites annulatus and their significance for Southern hemisphere biogeography</t>
  </si>
  <si>
    <t>REVIEW OF PALAEOBOTANY AND PALYNOLOGY</t>
  </si>
  <si>
    <t>Lophosoria; biogeography; Southern hemisphere; Cretaceous; Cenozoic</t>
  </si>
  <si>
    <t>AUSTRALIA; TASMANIA</t>
  </si>
  <si>
    <t>Oligocene-Early Miocene macrofossils of parts of a fertile frond are assigned to the extant South American species Lophosoria quadripinnata (Gmel.)C.Chr. These macrofossils bear the dispersed spore species Cyatheacidites annulatus Cookson ex Potonie, which has an extensive recorded history in the Southern hemisphere, only recently retracting to its current range. This history suggests major episodes of expansion and extinction, with a double extinction occurring in Australia and the Falkland Plateau and Cenozoic introductions to the Kerguelen Islands and the Falkland Plateau that probably involved transoceanic dispersal. Cretaceous Lophosoria records may or may not include L. quadripinnata, but they probably included several related species, especially in the southern South America-Antarctic Peninsula region, where other dispersed spore species of Cyatheacidites and the macrofossil species L. cupulatus are recognised. This species diversity probably collapsed during the Cretaceous, possibly due to angiosperm radiation. The Cenozoic record of C. annulatus in Australia appears to represent a radiation of L. quadripinnata, probably from South America and possibly involving long distance dispersal via West Antarctica. (C) 2001 Elsevier Science B.V. All rights reserved.</t>
  </si>
  <si>
    <t>Univ Adelaide, Ctr Evolutionary Biol &amp; Biodivers, Dept Environm Biol, Adelaide, SA 5005, Australia; Australian Natl Univ, RSPAS, Canberra, ACT 0200, Australia; Univ Tasmania, Sch Plant Sci, Hobart, Tas 7001, Australia</t>
  </si>
  <si>
    <t>University of Adelaide; Australian National University; University of Tasmania</t>
  </si>
  <si>
    <t>Hill, RS (corresponding author), Univ Adelaide, Ctr Evolutionary Biol &amp; Biodivers, Dept Environm Biol, Adelaide, SA 5005, Australia.</t>
  </si>
  <si>
    <t>Jordan, Gregory/B-3932-2013; Hill, Robert/AAB-1686-2019</t>
  </si>
  <si>
    <t>Jordan, Gregory/0000-0002-6033-2766; Hill, Robert/0000-0003-4564-4339</t>
  </si>
  <si>
    <t>0034-6667</t>
  </si>
  <si>
    <t>REV PALAEOBOT PALYNO</t>
  </si>
  <si>
    <t>Rev. Palaeobot. Palynology</t>
  </si>
  <si>
    <t>10.1016/S0034-6667(01)00088-4</t>
  </si>
  <si>
    <t>Plant Sciences; Paleontology</t>
  </si>
  <si>
    <t>488HV</t>
  </si>
  <si>
    <t>WOS:000171930900003</t>
  </si>
  <si>
    <t>Dugdale, RC; Wilkerson, FP</t>
  </si>
  <si>
    <t>Sources and fates of silicon in the ocean: the role of diatoms in the climate and glacial cycles</t>
  </si>
  <si>
    <t>silicon; nitrogen; phytoplankton; diatom; carbon productivity; Equatorial Pacific; Southern Ocean; paleoclimatology</t>
  </si>
  <si>
    <t>EQUATORIAL PACIFIC-OCEAN; PRIMARY PRODUCTIVITY; SOUTHERN-OCEAN; PHYTOPLANKTON BLOOM; IRON FERTILIZATION; CONTINUOUS CULTURE; MARINE DIATOMS; UPWELLING ZONE; NUTRIENT; LIMITATION</t>
  </si>
  <si>
    <t>Diatoms with their fast growth rates and obligate requirement for Si have a unique relationship to the oceanic Si cycle with the potential for controlling the nutrient and CO(2) environment of large important areas of the ocean. The new production of diatoms based on both new nitrogen and Si sources is described using a Si-pump based upon the differential regeneration of the two elements. This approach, applied to the eastern equatorial Pacific, showed diatoms to respond as in a Si-limited chemostat, to the low source Si(OH), in the Equatorial UnderCurrent. Increased Si(OH)(4) results in increased diatom productivity, suppression of non-diatom populations and decreased surface pCO(2). The deficiency in source concentrations of Si(OH)(4) results from low Si(OH) :NO water originating in the vicinity of the Antarctic Polar Front, a consequence of the extraordinary trapping of Si by the Southern Ocean. In glacial periods this trapping is reduced several fold and likely results in increased Si(OH)(4) export to the north, and increased Si(OH)(4) production and deposition at the equatorial Pacific which can be expected to reduce surface PCO(2). The connections between the eastern equatorial Pacific export production and Southern Ocean Si trapping may provide a major biogeochemical feedback system with implications for contemporary and paleoclimatology.</t>
  </si>
  <si>
    <t>San Francisco State Univ, Romberg Tiburon Ctr, Tiburon, CA 94920 USA</t>
  </si>
  <si>
    <t>California State University System; San Francisco State University</t>
  </si>
  <si>
    <t>Dugdale, RC (corresponding author), San Francisco State Univ, Romberg Tiburon Ctr, 3152 Paradise Dr, Tiburon, CA 94920 USA.</t>
  </si>
  <si>
    <t>rdugdale@sfsu.edu</t>
  </si>
  <si>
    <t>INST CIENCIAS MAR BARCELONA</t>
  </si>
  <si>
    <t>BARCELONA</t>
  </si>
  <si>
    <t>PG MARITIM DE LA BARCELONETA, 37-49, 08003 BARCELONA, SPAIN</t>
  </si>
  <si>
    <t>10.3989/scimar.2001.65s2141</t>
  </si>
  <si>
    <t>480LJ</t>
  </si>
  <si>
    <t>gold</t>
  </si>
  <si>
    <t>WOS:000171462600011</t>
  </si>
  <si>
    <t>Guyodo, Y; Acton, GD; Brachfeld, S; Channell, JET</t>
  </si>
  <si>
    <t>A sedimentary paleomagnetic record of the Matuyama chron from the Western Antarctic margin (ODP Site 1101)</t>
  </si>
  <si>
    <t>paleomagnetism; magnetostratigraphy; magnetic intensity; Antarctic Peninsula</t>
  </si>
  <si>
    <t>GEOMAGNETIC-FIELD INTENSITY; RELATIVE PALEOINTENSITY RECORDS; CUMULATIVE VISCOUS REMANENCE; EARTHS MAGNETIC-FIELD; ONTONG-JAVA PLATEAU; JARAMILLO SUBCHRON; BRUNHES-CHRON; LABRADOR-SEA; CALIFORNIA MARGIN; NORTH-ATLANTIC</t>
  </si>
  <si>
    <t>A high-resolution paleomagnetic record for part of the Matuyama chron (0.7-2.1 Ma) is reported for Ocean Drilling Program Site 1101 (Leg 178), off the Antarctic Peninsula Pacific margin. A rock-magnetic investigation of 62 discrete samples revealed that the natural remanent magnetization (NRM) is carried by pseudo-single domain magnetite. Progressive alternating field demagnetization of 83 in of U-channels provided a polarity stratigraphy down to the Olduvai subchron. Two geomagnetic events preceding the Jaramillo subchron were identified, including the Cobb Mountain polarity interval. The bulk magnetic parameters vary by more than a factor of 20 over the entire time interval, but by less than a factor of 6 over the 0.7-1.1 Ma interval. This latter interval was selected for paleointensity determinations, which were carried out by normalizing the NRM by the anhysteretic remanent magnetization (ARM). Direct comparison of the Site 1101 paleointensity record with other curves available for the same time interval suggests a geomagnetic origin for features present in the record. A more quantitative comparison was achieved by means of a jackknife test performed on nine records of relative paleointensity over the 0.95-1.1 Ma interval. This test yielded no outlier for the period considered, confirming the geomagnetic character of the records. We have constructed a low-resolution stack revealing some of the characteristic paleointensity features of the Jaramillo subchron. (C) 2001 Elsevier Science B.V. All rights reserved.</t>
  </si>
  <si>
    <t>Univ Florida, Dept Geol Sci, Gainesville, FL USA; Texas A&amp;M Univ, Ocean Drilling Program, College Stn, TX USA; Univ Minnesota, Inst Rock Magnetism, Minneapolis, MN USA</t>
  </si>
  <si>
    <t>State University System of Florida; University of Florida; Texas A&amp;M University System; Texas A&amp;M University College Station; University of Minnesota System; University of Minnesota Twin Cities</t>
  </si>
  <si>
    <t>Guyodo, Y (corresponding author), Univ Florida, Dept Geol Sci, Gainesville, FL USA.</t>
  </si>
  <si>
    <t>guyodo, yohan/R-5079-2018; Guyodo, Yohan/G-8282-2011; Acton, Gary D/B-6108-2016</t>
  </si>
  <si>
    <t>guyodo, yohan/0000-0003-0485-5949; Acton, Gary/0000-0002-3285-4022; Brachfeld, Stefanie/0000-0003-4612-2866</t>
  </si>
  <si>
    <t>AUG 30</t>
  </si>
  <si>
    <t>10.1016/S0012-821X(01)00402-2</t>
  </si>
  <si>
    <t>470HB</t>
  </si>
  <si>
    <t>WOS:000170864000006</t>
  </si>
  <si>
    <t>Bruguier, NJ; Livermore, RA</t>
  </si>
  <si>
    <t>Enhanced magma supply at the southern East Scotia Ridge: evidence for mantle flow around the subducting slab?</t>
  </si>
  <si>
    <t>magma chambers; back-arc basins; Scotia Sea; spreading centers</t>
  </si>
  <si>
    <t>ARC SPREADING CENTER; MID-ATLANTIC RIDGE; RODRIGUES TRIPLE JUNCTION; DE-FUCA RIDGE; SEA MARC-I; PACIFIC RISE; VOLCANIC-ERUPTIONS; COLLAPSE CALDERAS; MIDOCEAN RIDGES; RIFT-VALLEY</t>
  </si>
  <si>
    <t>Bathymetric and seismic data show that the southernmost segment of the East Scotia Ridge (segment E9) is anomalous in its curved plan form, and in the presence of a large axial volcanic ridge (AVR). Spreading commenced only within the past I million years on this segment, which appears to have propagated both northward and southward. The presence of a caldera at the summit of the AVR indicates that a shallow magma chamber of limited extent existed recently beneath the ridge. Eruption from this magma chamber, probably within the past 0.1 million years, may have led to the formation of the AVR itself. Careful examination of seismic reflection profiles suggests that small pockets of magma may still exist beneath the AVR. Magmatism on segment E9 may be enhanced as a result of the flow of shallow mantle around the southern end of the subducting slab beneath the South Sandwich Are in a manner similar to that proposed for the northern end. This mantle probably carries a slightly enriched 'hotspot' signature, and is affected by volatiles released from the edge of the slab, both tending to increase the supply of magma to the back-arc spreading centre. (C) 2001 Elsevier Science B.V. All rights reserved.</t>
  </si>
  <si>
    <t>Livermore, RA (corresponding author), British Antarctic Survey, Madingley Rd, Cambridge CB3 0ET, England.</t>
  </si>
  <si>
    <t>Livermore, Roy/M-1566-2019</t>
  </si>
  <si>
    <t>10.1016/S0012-821X(01)00408-3</t>
  </si>
  <si>
    <t>WOS:000170864000011</t>
  </si>
  <si>
    <t>Longinelli, A; Colombo, T; Giovanelli, G; Lenaz, R; Ori, C; Selmo, E</t>
  </si>
  <si>
    <t>Atmospheric CO2 concentrations and δ13C measurements along a hemispheric course (1998/99, Italy to Antarctica)</t>
  </si>
  <si>
    <t>atmosphere; carbon dioxide; greenhouse effect; isotope ratios; C-13/C-12; Antarctica</t>
  </si>
  <si>
    <t>CARBON-DIOXIDE; OCEANS; SEA; SINKS</t>
  </si>
  <si>
    <t>Continuous measurements of atmospheric CO2 Concentrations were carried out along three ship-routes from Italy to Antarctica in 1994/95, 1996/97 and 1998/99. The growth rate Of CO2 for four latitudinal belts with arbitrarily chosen boundaries (from 45 degreesN to 80 degreesS) is reported for the three expeditions. The northernmost belt shows the largest growth rate between 1996 and 1998 (close to 6 ppm/yr) while southern belts show an almost constant growth rate of 1.7 ppm/yr. Anthropogenic activities clearly affect both CO2 concentrations and growth rates. delta C-13 measurements were carried out on CO2 from 23 flask air samples collected during the 1998/99 expedition. Apart from negative values observed in highly polluted areas, a negative trend is observed across the Antarctic Convergence Area with no changes in the atmospheric concentration Of CO2. The hypothesis of a biochemical origin of these light carbon isotope values is suggested. (C) 2001 Elsevier Science B.V. All rights reserved.</t>
  </si>
  <si>
    <t>Univ Parma, Dept Earth Sci, I-43100 Parma, Italy; CAMM Monte Cimone, Italian Air Force, Modena, Italy; CNR, ISAO, I-40129 Bologna, Italy; CNR, Inst Marine Geol, I-40129 Bologna, Italy</t>
  </si>
  <si>
    <t>University of Parma; Consiglio Nazionale delle Ricerche (CNR); Consiglio Nazionale delle Ricerche (CNR)</t>
  </si>
  <si>
    <t>Longinelli, A (corresponding author), Univ Parma, Dept Earth Sci, Parco Area Sci 157A, I-43100 Parma, Italy.</t>
  </si>
  <si>
    <t>10.1016/S0012-821X(01)00415-0</t>
  </si>
  <si>
    <t>WOS:000170864000014</t>
  </si>
  <si>
    <t>Ikeda-Fukazawa, T; Hondoh, T; Fukumura, T; Fukazawa, H; Mae, S</t>
  </si>
  <si>
    <t>Variation in N2/O2 ratio of occluded air in Dome Fuji antarctic ice</t>
  </si>
  <si>
    <t>BORE-HOLE SURVEY; SPATIAL-DISTRIBUTION; RAMAN-SPECTRA; HYDRATE; CORE; RECORD; CO2; DENSIFICATION; NITROGEN; CRYSTAL</t>
  </si>
  <si>
    <t>Ancient atmospheric gases are trapped in polar ice sheets. The gas molecules are stored in air bubbles at shallow depth and are incorporated into clathrate hydrates below a depth at which the hydrostatic pressure becomes greater than the formation pressure of the air clathrate hydrate. Significant gas fractionation has been found from measurements of the depth profile of the N-2/O-2 composition ratios in clathrate hydrates and air bubbles of Vostok antarctic ice. To investigate the effect of the ice condition on the fractionation process, we measured the N-2/O-2 ratios in clathrate hydrates and air bubbles from Dome Fuji antarctic ice using Raman spectroscopy. The results showed that the N-2/O-2 ratios in the clathrate hydrates of the Dome Fuji ice are slightly lower than those of the Vostok ice, although the tendency of the variation of the N-2/O-2 ratio with depth is similar. The difference in the N-2/O-2 ratio between the Dome Fuji ice and the Vostok ice for the transition zone is attributed to the difference of the ice temperature and the snow accumulation rate. On the other hand, it is concluded that the difference in the bubble-free ice zone was caused by gas loss from the ice core after coring. The N-2/O-2 ratio of clathrate hydrate increases after coring because of higher diffusion rate and lower dissociation pressure of O-2 than of N-2 . Our data suggest that the effect of gas loss in the Dome Fuji ice is relatively small, and so the gas composition in the Dome Fuji ice can be a precise paleoenvironmental indicator.</t>
  </si>
  <si>
    <t>Hokkaido Univ, Inst Low Temp Sci, Sapporo, Hokkaido 0600819, Japan; Hokkaido Univ, Dept Appl Phys, Sapporo, Hokkaido 0608628, Japan</t>
  </si>
  <si>
    <t>Hokkaido Univ, Inst Low Temp Sci, N19 W8, Sapporo, Hokkaido 0600819, Japan.</t>
  </si>
  <si>
    <t>tomo@hhp2.lowtem.hokudai.ac.jp</t>
  </si>
  <si>
    <t>; HONDOH, Takeo/E-7551-2011</t>
  </si>
  <si>
    <t>Ikeda-Fukazawa, Tomoko/0000-0002-5265-4706; HONDOH, Takeo/0000-0003-4129-022X</t>
  </si>
  <si>
    <t>AUG 27</t>
  </si>
  <si>
    <t>D16</t>
  </si>
  <si>
    <t>10.1029/2000JD000104</t>
  </si>
  <si>
    <t>465FR</t>
  </si>
  <si>
    <t>WOS:000170579400007</t>
  </si>
  <si>
    <t>Hinkley, TK; Matsumoto, A</t>
  </si>
  <si>
    <t>Atmospheric regime of dust and salt through 75,000 years of Taylor Dome ice core: Refinement by measurement of major, minor, and trace metal suites</t>
  </si>
  <si>
    <t>ROCK-FORMING METALS; GREENLAND SNOW; ANTARCTIC ICE; LEAD; CONSTRAINTS; CADMIUM</t>
  </si>
  <si>
    <t>Measurement of absolute and relative amounts of dust and salt deposited in the polar ice record is central to several fields of study, including nutrient delivery, atmospheric deposition of trace elements, past wind strengths, dust provenance, and other aspects of climate and geochemical history. We present a method intended to give a more accurate picture than has been possible before of the total amounts and relative proportions of the dust and salt deposited by the atmosphere into polar ice. It also permits us to distinguish different compositional types of dust in the ice. The method is based on precise measurement of a suite of several metals whose proportions contrast strongly between dust and salt and vary substantially between dust types. We apply the method to a small suite of ice samples from the Taylor Dome core in coastal West Antarctica. In full glacial times, when total impurities were high and dust dominated over salt, wind strength in the West Antarctic region was apparently high, and extensive sea-ice cover prevented incorporation of salt into the atmospheric load. At the termination of the glacial period, increased salt in the dust-salt mixture indicates that sea ice diminished, but wind strength continued high, and unchanged dust composition indicates unchanged source areas. At about 10,000-11,000 y.B.P., sea-ice cover appears to have briefly returned to glacial conditions, but wind conditions remained in the milder postglacial condition. Soon after, sea ice retreated, and an abrupt change in dust composition indicates changed source materials or terranes. If extended by analysis of more samples from more sites, such information on salt and dust could provide firm constraints on past wind strengths, extent of sea-ice cover, deposition fluxes of salt and dust, and changing continental source areas of dust, for both polar regions of the Earth.</t>
  </si>
  <si>
    <t>US Geol Survey, Fed Ctr, Denver, CO 80225 USA; Geol Survey Japan, Tsukuba, Ibaraki 3058567, Japan</t>
  </si>
  <si>
    <t>Hinkley, TK (corresponding author), US Geol Survey, Fed Ctr, MS 980,Box 25046, Denver, CO 80225 USA.</t>
  </si>
  <si>
    <t>0747-7309</t>
  </si>
  <si>
    <t>10.1029/2000JD900550</t>
  </si>
  <si>
    <t>WOS:000170579400059</t>
  </si>
  <si>
    <t>Legras, B; Dritschel, DG; Caillol, P</t>
  </si>
  <si>
    <t>The erosion of a distributed two-dimensional vortex in a background straining flow</t>
  </si>
  <si>
    <t>JOURNAL OF FLUID MECHANICS</t>
  </si>
  <si>
    <t>2-DIMENSIONAL FLOWS; ANTARCTIC VORTEX; CONTOUR SURGERY; PASSIVE SCALAR; VORTICES; DYNAMICS</t>
  </si>
  <si>
    <t>Herein we present a simplified theory for the behaviour of a vortex embedded in a growing external straining flow. Such a flow arises naturally as a vortex moves relative to other vortices. While the strain may generally exhibit a complex time dependence, the salient features of the vortex evolution can be understood in the simpler context, studied here, of a linearly growing strain. Then, all of the typical stages of evolution can be seen, from linear deformation, to the stripping or erosion of low-lying peripheral vorticity, and finally to the breaking or rapid elongation of the vortex into a thin filament. When, as is often the case in practice, the strain growth is slow, the vortex adjusts itself to be in approximate equilibrium with the background flow, Then., the vortex passes through, or near, a sequence of equilibrium states until, at a critical value of the strain, it suddenly breaks. In the intermediate period before breaking, the vortex continuously sheds peripheral vorticity, thereby steepening its edge gradients. This stripping is required to keep the vortex in a near equilibrium configuration. We show that this behaviour can be captured., quantitatively, by a reduced model, the elliptical model, which represents the vortex by a nested set of elliptical vorticity contours, each having a (slightly) different aspect ratio and orientation. Here, we have extended the original elliptical model by allowing for edge vorticity levels to be shed when appropriate (to represent stripping) and by incorporating the flow induced by the vorticity being stripped away. The success of this model proves that the essential characteristics of vortex erosion are captured simply by the leading-order, elliptical shape deformations of vorticity contours. Finally, we discuss the role of viscosity. Then, there is a competition between gradient steepening by stripping and smoothing by viscosity. If the strain grows too slowly, the vortex is dominated by viscous decay, and the edge gradients become very smooth. On the other hand, for sufficiently rapid strain growth (which can still be slow, depending on the viscosity), the vortex edge remains steep until the final breaking.</t>
  </si>
  <si>
    <t>Meteorol Dynam Lab, Paris, France; Univ St Andrews, Dept Math Appl, St Andrews, Fife, Scotland</t>
  </si>
  <si>
    <t>Sorbonne Universite; University of St Andrews</t>
  </si>
  <si>
    <t>Meteorol Dynam Lab, Paris, France.</t>
  </si>
  <si>
    <t>Legras, Bernard/HNI-8473-2023; Dritschel, David/D-8131-2013; Legras, Bernard/AAE-1352-2019; Dritschel, David/M-8200-2014</t>
  </si>
  <si>
    <t>Legras, Bernard/0000-0002-3756-7794; Dritschel, David/0000-0001-6489-3395</t>
  </si>
  <si>
    <t>0022-1120</t>
  </si>
  <si>
    <t>1469-7645</t>
  </si>
  <si>
    <t>J FLUID MECH</t>
  </si>
  <si>
    <t>J. Fluid Mech.</t>
  </si>
  <si>
    <t>AUG 25</t>
  </si>
  <si>
    <t>10.1017/S002211200100502X</t>
  </si>
  <si>
    <t>Mechanics; Physics, Fluids &amp; Plasmas</t>
  </si>
  <si>
    <t>Mechanics; Physics</t>
  </si>
  <si>
    <t>466QW</t>
  </si>
  <si>
    <t>WOS:000170657100014</t>
  </si>
  <si>
    <t>Malamud, BD; Turcotte, DL</t>
  </si>
  <si>
    <t>Wavelet analyses of Mars polar topography</t>
  </si>
  <si>
    <t>JOURNAL OF GEOPHYSICAL RESEARCH-PLANETS</t>
  </si>
  <si>
    <t>We have analyzed topography tracks over the Mars northern polar cap (composed of H2O ice, CO2 ice, and sediments) and the Antarctic ice sheet on Earth using a Mexican hat wavelet transform. The great utility of the wavelet transform is that it gives both spatial and spectral resolution. We have used the variance of the wavelet output in order to quantify the spectral content of the topography tracks. At short wavelengths, for both the Mars northern polar cap and the Antarctic ice sheet, we find a power law dependence of the wavelet transform variance on wavelength, with a power law exponent of beta approximate to 3.5-3.7. This compares with a power law exponent of similar to2.0 (Brownian motion), typical of topography on both Mars and Earth. There is a power law smoothing of the ice topography at short wavelengths on both planetary bodies. At long wavelengths we infer a similar power law dependence with beta approximate to 1.5-2.0, typical of planetary topography. A transition is observed between the smooth short-wavelength behavior (high beta) to rougher long-wavelength behavior (low beta). This fairly sharp transition occurs at a wavelength of similar to 24 kin for Mars and similar to 11 kin for Antarctica. The transitions appear to scale with ice thicknesses and suggest a relaxation of short-wavelength topography by ice flows or surface processes.</t>
  </si>
  <si>
    <t>Cornell Univ, Dept Geol Sci, Ithaca, NY 14853 USA</t>
  </si>
  <si>
    <t>Cornell University</t>
  </si>
  <si>
    <t>Kings Coll London, Dept Geog, Strand, London WC2R 2LS, England.</t>
  </si>
  <si>
    <t>bruce@malamud.com; turcotte@geology.cornell.edu</t>
  </si>
  <si>
    <t>Malamud, Bruce/H-7885-2013</t>
  </si>
  <si>
    <t>Malamud, Bruce/0000-0001-8164-4825</t>
  </si>
  <si>
    <t>2169-9097</t>
  </si>
  <si>
    <t>2169-9100</t>
  </si>
  <si>
    <t>J GEOPHYS RES-PLANET</t>
  </si>
  <si>
    <t>J. Geophys. Res.-Planets</t>
  </si>
  <si>
    <t>E8</t>
  </si>
  <si>
    <t>10.1029/2000JE001333</t>
  </si>
  <si>
    <t>465FU</t>
  </si>
  <si>
    <t>WOS:000170579600001</t>
  </si>
  <si>
    <t>Barnes, DKA</t>
  </si>
  <si>
    <t>Resource availability Ancient homes for hard-up hermit crabs</t>
  </si>
  <si>
    <t>SHELL UTILIZATION</t>
  </si>
  <si>
    <t>Natl Univ Ireland Univ Coll Cork, Dept Zool &amp; Anim Ecol, Cork, Ireland; Frontier, London EC2A 4QS, England</t>
  </si>
  <si>
    <t>University College Cork</t>
  </si>
  <si>
    <t>Barnes, DKA (corresponding author), British Antarctic Survey, High Cross,Maddingley Rd, Cambridge CB3 0ET, England.</t>
  </si>
  <si>
    <t>AUG 23</t>
  </si>
  <si>
    <t>10.1038/35090632</t>
  </si>
  <si>
    <t>465ET</t>
  </si>
  <si>
    <t>WOS:000170577200026</t>
  </si>
  <si>
    <t>Hall, IR; McCave, IN; Shackleton, NJ; Weedon, GP; Harris, SE</t>
  </si>
  <si>
    <t>Intensified deep Pacfic inflow and ventilation in Pleistocene glacial times</t>
  </si>
  <si>
    <t>SORTABLE SILT; OCEAN; CIRCULATION; WATER; SEDIMENT; CLIMATE; ATMOSPHERE; CARBON; SPEED; PROXY</t>
  </si>
  <si>
    <t>The production of cold, deep waters in the Southern Ocean is an important factor in the Earth's heat budget(1). The supply of deep water to the Pacific Ocean is presently dominated by a single source, the deep western boundary current east of New Zealand. Here we use sediment records deposited under the influence of this deep western boundary current to reconstruct deep-water properties and speed changes during the Pleistocene epoch. In physical and isotope proxies we rnd evidence for intensified deep Pacific Ocean inflow and ventilation during the glacial periods of the past 1.2 million years. The changes in throughflow may be directly related to an increased production of Antarctic Bottom Water during glacial times. Possible causes for such an increased bottom-water production include increasing wind strengths in the Southern Ocean or an increase in annual sea-ice formation, leaving dense water after brine rejection and thereby enhancing deep convection. We infer also that the global thermohaline circulation was perturbed significantly during the mid-Pleistocene climate transition between 0.86 and 0.45 million years ago.</t>
  </si>
  <si>
    <t>Cardiff Univ, Dept Earth Sci, Cardiff CF10 3YE, S Glam, Wales; Univ Cambridge, Dept Earth Sci, Cambridge CB2 3EQ, England; Univ Luton, Dept Environm Geog &amp; Geol, Luton LU1 3JU, Beds, England; Sea Educ Assoc, Woods Hole, MA 02543 USA</t>
  </si>
  <si>
    <t>Cardiff University; University of Cambridge; University of Bedfordshire</t>
  </si>
  <si>
    <t>Hall@cardiff.ac.uk</t>
  </si>
  <si>
    <t>Weedon, Graham P./B-7574-2008; Weedon, Graham/JCE-1078-2023; McCave, Nick N/G-7323-2016; McCave, I. Nick/O-3992-2018; Hall, Ian/C-2755-2009</t>
  </si>
  <si>
    <t>Weedon, Graham P./0000-0003-1262-9984; McCave, Nick N/0000-0002-4702-5489; McCave, I. Nick/0000-0002-4702-5489; Hall, Ian/0000-0001-6960-1419</t>
  </si>
  <si>
    <t>10.1038/35090552</t>
  </si>
  <si>
    <t>WOS:000170577200034</t>
  </si>
  <si>
    <t>Scudiero, R; Carginale, V; Capasso, C; Riggio, M; Filosa, S; Parisi, E</t>
  </si>
  <si>
    <t>Structural and functional analysis of metal regulatory elements in the promoter region of genes encoding metallothionein isoforms in the Antarctic fish Chionodraco hamatus (icefish)</t>
  </si>
  <si>
    <t>GENE</t>
  </si>
  <si>
    <t>cadmium; gene regulation; luciferase reporter gene; metal-responsive elements (MREs); transfection; zinc</t>
  </si>
  <si>
    <t>CELL-SPECIFIC EXPRESSION; MESSENGER-RNA; RAINBOW-TROUT; DIFFERENTIAL REGULATION; CAENORHABDITIS-ELEGANS; HEAVY-METALS; TRANSCRIPTION; ACCUMULATION; PROTEIN; ORGANIZATION</t>
  </si>
  <si>
    <t>To investigate the regulation of Chionodraco hamatus metallothionein (MT) encoding genes about 1000-bp regions of both MT-I and MT-II gene promoters were cloned and sequenced. Both promoters were rich in A-T content, and lacked the canonical TATA box; several putative cis-regulatory sequences were also present. In the MT-I promoter, four MREs were identified within the first 300 bp from the ATG codon. In the MT-II promoter, seven MREs were organized into two clusters, one containing three MREs located close to the ATG codon, and the other consisting of four MREs lying 500-900 bp upstream of the transcription starting point. The alignment of the MT-I and MT-II promoter regions showed 57% identity, which increased to 87% in the 300-bp region upstream of the ATG. Only the three proximal putative MREs identified were conserved both in position and sequence. Functional analysis of MT-I and MT-H promoters was performed by introducing deletion mutants of the 5'-flanking regions into vector pGL-3, directly upstream of the firefly luciferase reporter gene. Each construct was tested in the HepG2 cell lines in the absence or presence of zinc or cadmium ions. Maximum inducibility of the MT-H gene promoter was achieved with a construct containing both the proximal and the distal MRE clusters. The lack of the most distally located MRE dramatically affected MT-II promoter sensitivity to metals; removal of the distal cluster of MREs also reduced metal inducibility. The MT-I promoter was more compact, since maximal activity and metal inducibility depended on the presence of the proximal cluster of four MREs. This study suggests that the different organization of the MT-I and MT-H gene promoter regions might account for the observed differences in the basal and metal-induced expression of MT-I and MT-II isoforms in the C hamatus liver. (C) 2001 Elsevier Science B.V. All rights reserved.</t>
  </si>
  <si>
    <t>CNR, Ist Biochim Prot &amp; Enzimol, I-80125 Naples, Italy; Univ Naples Federico II, Dipartimento Biol Evolut &amp; Comparata, Naples, Italy; CNR, Ist Int Genet &amp; Biofis, I-80125 Naples, Italy</t>
  </si>
  <si>
    <t>Consiglio Nazionale delle Ricerche (CNR); Istituto di Biochimica delle Proteine (IBP-CNR); University of Naples Federico II; Consiglio Nazionale delle Ricerche (CNR); Istituto di Genetica e Biofisica Adriano Buzzati-Traverso (IGB-CNR)</t>
  </si>
  <si>
    <t>CNR, Ist Biochim Prot &amp; Enzimol, Via Marconi 10, I-80125 Naples, Italy.</t>
  </si>
  <si>
    <t>parisi@dafne.ibpe.na.cnr.it</t>
  </si>
  <si>
    <t>Filosa, Stefania/A-4609-2014; Scudiero, Rosaria/AAI-2119-2020; Carginale, Vincenzo/N-2531-2014; CAPASSO, CLEMENTE/P-3522-2016</t>
  </si>
  <si>
    <t>Carginale, Vincenzo/0000-0002-1842-494X; Filosa, Stefania/0000-0003-2896-3362; CAPASSO, CLEMENTE/0000-0003-3314-2411; Scudiero, Rosaria/0000-0002-8186-9722</t>
  </si>
  <si>
    <t>0378-1119</t>
  </si>
  <si>
    <t>1879-0038</t>
  </si>
  <si>
    <t>Gene</t>
  </si>
  <si>
    <t>AUG 22</t>
  </si>
  <si>
    <t>10.1016/S0378-1119(01)00609-6</t>
  </si>
  <si>
    <t>Genetics &amp; Heredity</t>
  </si>
  <si>
    <t>482PM</t>
  </si>
  <si>
    <t>WOS:000171584500020</t>
  </si>
  <si>
    <t>Van Bressem, MF; Van Waerebeek, K; Jepson, PD; Raga, JA; Duignan, PJ; Nielsen, O; Di Beneditto, AP; Siciliano, S; Ramos, R; Kant, W; Peddemors, V; Kinoshita, R; Ross, PS; López-Fernandez, A; Evans, K; Crespo, E; Barrett, T</t>
  </si>
  <si>
    <t>An insight into the epidemiology of dolphin morbillivirus worldwide</t>
  </si>
  <si>
    <t>VETERINARY MICROBIOLOGY</t>
  </si>
  <si>
    <t>dolphin morbillivirus; cetaceans; epidemiology; serology; conservation</t>
  </si>
  <si>
    <t>DES-PETITS RUMINANTS; WESTERN ATLANTIC; STENELLA-COERULEOALBA; TURSIOPS-TRUNCATUS; MEDITERRANEAN-SEA; COMMON DOLPHINS; PACIFIC-OCEAN; INFECTION; PROTEIN; VIRUS</t>
  </si>
  <si>
    <t>Serum samples from 288 cetaceans representing 25 species and originating from II different countries were collected between 1995 and 1999 and examined for the presence of dolphin morbillivirus (DMV)-specific antibodies by an indirect ELISA (iELISA) (N = 267) or a plaque reduction assay (N = 21). A total of 35 odontocetes were seropositive: three harbour porpoises (Phocoena phocoena) and a common dolphin (Delphinus delphis) from the Northeastern (NE) Atlantic, a bottlenose dolphin (Tursiops truncatus) from Kent (England), three striped dolphins (Stenella coeruleoalba), two Risso's dolphins (Grampus griseus) and a bottlenose dolphin from the Mediterranean Sea, one common dolphin from the Southwest (SW) Indian Ocean, three Eraser's dolphins (Lagenodelphis hosei) from the SW Atlantic, 18 long-finned pilot whales (Globicephala melas) and a bottlenose dolphin from the SW Pacific as well as a captive bottlenose dolphin (Tursiops aduncus) originally from Taiwan. The presence of morbillivirus antibodies in 17 of these animals was further examined in other iELISAs and virus neutralization tests. Our results indicate that DMV infects cetaceans worldwide. This is the first report of DMV-seropositive animals from the SW Indian, SW Atlantic and West Pacific Oceans. Prevalence of DMV-seropositives was 85.7% in 21 pilot whales from the SW Pacific and both sexually mature and immature individuals were infected. This indicates that DMV is endemic in these animals, The same situation may occur among Eraser's dolphins from the SW Atlantic. The prevalence of DMV-seropositives was 5.26% and 5.36% in 19 common dolphins and 56 harbour porpoise from the NE Atlantic, respectively, and 18.75% in 16 striped dolphins from the Mediterranean. Prevalence varied significantly with sexual maturity in harbour porpoises and striped dolphins; all DMV-seropositives being mature animals. The prevalence of seropositive harbour porpoise and striped dolphins appeared to have decreased since previous studies. These data suggest that DMV is not endemic within these populations, that they are losing their humoral immunity against the virus and that they may be vulnerable to new epidemics. (C) 2001 Elsevier Science B.V. All rights reserved.</t>
  </si>
  <si>
    <t>Peruvian Ctr Cetacean res, CEPEC, Lima 20, Peru; Univ Liege, Fac Vet Med, Dept Vaccinol Immunol, B-4000 Liege, Belgium; Zool Soc London, Inst Zool, Vet Sci Grp, London NW1 4RY, England; Univ Valencia, Dept Anim Biol, E-46100 Burjassot, Spain; Univ Valencia, Cavanilles Res Inst Biodivers &amp; Evolutionary Biol, E-46100 Burjassot, Spain; Massey Univ, Cetacean Invest Ctr, Dept Vet Pathol &amp; Publ Hlth, Palmerston North, New Zealand; Dept Fisheries &amp; Oceans Canada, Cent &amp; Arctic Reg, Winnipeg, MB R3T 2N6, Canada; Univ Estadual Norte Fluminense, CBB, LCA, BR-28015620 Campos, RJ, Brazil; Fed Univ Rio De Janeiro, Museu Nacl, Dept Vertebrados, BR-20940040 Rio De Janeiro, RJ, Brazil; Stranding Network Coordinator Bayworld Complex, ZA-6013 Humewood, South Africa; Natal Shark Board, ZA-4320 Umhlanga, South Africa; Vet Hosp, Ocean Pk Corp, Aberdeen, Scotland; Inst Ocean Sci, Sidney, BC V8L 4B2, Canada; Inst Invest Marinas Punta Betin, Vigo 36208, Spain; Univ Tasmania, Sch Zool, Antarctic Wildlife Res Unit, Hobart, Tas 7001, Australia; Consejo Nacl Invest Cient &amp; Tecn, Ctr Nacl Patagon, Lab Mamiferos Marinos, Puerto Madryn, Chubut, Argentina; AFRC, Inst Anim Hlth, Pirbright Lab, Woking GU24 0NF, Surrey, England</t>
  </si>
  <si>
    <t>University of Liege; Zoological Society of London; University of Valencia; University of Valencia; Massey University; Fisheries &amp; Oceans Canada; Universidade Estadual do Norte Fluminense; Universidade Federal do Rio de Janeiro; Consejo Superior de Investigaciones Cientificas (CSIC); CSIC - Instituto de Investigaciones Marinas (IIM); University of Tasmania; Consejo Nacional de Investigaciones Cientificas y Tecnicas (CONICET); Centro Nacional Patagonico (CENPAT); UK Research &amp; Innovation (UKRI); Biotechnology and Biological Sciences Research Council (BBSRC); Pirbright Institute; Babraham Institute</t>
  </si>
  <si>
    <t>Van Bressem, MF (corresponding author), Pasaje Palmira 196,San Isidro, Lima 27, Peru.</t>
  </si>
  <si>
    <t>Di Beneditto, Ana Paula/JCE-1238-2023; Jepson, Paul D/G-1840-2013; evans, karen/D-7110-2012; Di Beneditto, Ana Paula/L-9347-2013; Raga, Juan Antonio/L-7669-2014; Siciliano, Steven D/G-3370-2011; Fernandez, Alfredo López/R-5694-2019; Peddemors, Victor M/Q-4281-2016</t>
  </si>
  <si>
    <t>Di Beneditto, Ana Paula/0000-0002-4248-9380; Di Beneditto, Ana Paula/0000-0002-4248-9380; Raga, Juan Antonio/0000-0003-2687-2539; Fernandez, Alfredo López/0000-0001-7945-3675; Peddemors, Victor/0000-0002-8743-9782; Siciliano, Salvatore/0000-0002-0124-8070; Evans, Karen/0000-0003-2205-4264</t>
  </si>
  <si>
    <t>0378-1135</t>
  </si>
  <si>
    <t>VET MICROBIOL</t>
  </si>
  <si>
    <t>Vet. Microbiol.</t>
  </si>
  <si>
    <t>AUG 20</t>
  </si>
  <si>
    <t>10.1016/S0378-1135(01)00368-6</t>
  </si>
  <si>
    <t>Microbiology; Veterinary Sciences</t>
  </si>
  <si>
    <t>450BP</t>
  </si>
  <si>
    <t>WOS:000169721900001</t>
  </si>
  <si>
    <t>Naithani, J; Mastrantonio, G; Argentini, S; Pettré, P</t>
  </si>
  <si>
    <t>Influence of cyclonic perturbations on surface winds around Dumont d'Urville, East Antarctica, using wavelet transform</t>
  </si>
  <si>
    <t>ADELIE LAND; KATABATIC WINDS; REGIME; CONTINENT; FLOW</t>
  </si>
  <si>
    <t>Wavelet analyses of the surface winds at Dumont d'Urville, an East Antarctic station, have been performed for the months April, June, September, and December 1993, representing autumn, winter, spring, and summer, respectively. The 3 hourly 10 min averaged meteorological station data have been used. The site is characterized by intense katabatic winds that arrive from the southeast. During the year 1993 the maximum occurrence of wind was from 160 degrees direction sector. The wavelet transform spectra of horizontal wind show prominent periodicities in the interval between 2 and 20 days. The spectral energies in the diurnal scale are comparatively very low even in summer. A comparison with wavelet spectra of pressure for synoptic scale (2-10 days) confirms the influence of synoptic disturbances that are frequent in coastal regions of the Antarctic continent. The same analysis carried out on the wind components, parallel and transverse to the main katabatic flow direction, reveals that these periodicities are mainly due to the katabatic flow behavior. Although the katabatic wind flow is the dominant force characterizing the day-to-day weather conditions, the influence of transient cyclones offshore cannot be ignored; in situations of considerable synoptic activity the intensity and duration of katabatic wind flow are prolonged.</t>
  </si>
  <si>
    <t>CNR, Ist Fis Atmosfera, I-00133 Rome, Italy; Univ Catholique Louvain, Inst Astron &amp; Geofis Georges Lemaitre, B-1348 Louvain, Belgium; CNRM, Meteo France, F-31057 Toulouse, France</t>
  </si>
  <si>
    <t>Consiglio Nazionale delle Ricerche (CNR); Universite Catholique Louvain</t>
  </si>
  <si>
    <t>Naithani, J (corresponding author), CNR, Ist Fis Atmosfera, Via Fosso Cavaliere 100, I-00133 Rome, Italy.</t>
  </si>
  <si>
    <t>ARGENTINI, STEFANIA/0000-0002-7939-0309</t>
  </si>
  <si>
    <t>AUG 16</t>
  </si>
  <si>
    <t>D15</t>
  </si>
  <si>
    <t>10.1029/2001JD900123</t>
  </si>
  <si>
    <t>463BP</t>
  </si>
  <si>
    <t>WOS:000170457200002</t>
  </si>
  <si>
    <t>Jouzel, J; Masson, V; Cattani, O; Falourd, S; Stievenard, M; Stenni, B; Longinelli, A; Johnsen, SJ; Steffenssen, JP; Petit, JR; Schwander, J; Souchez, R; Barkov, NI</t>
  </si>
  <si>
    <t>A new 27 ky high resolution East Antarctic climate record</t>
  </si>
  <si>
    <t>ICE-CORE; LAST DEGLACIATION; DOME C; GREENLAND; PRECIPITATION; TEMPERATURE; SEASONALITY; SURFACE; ORIGIN; VOSTOK</t>
  </si>
  <si>
    <t>The ice core recently drilled at the Dome Concordia site on the East Antarctic plateau provides a new high resolution isotope record covering part of the last glacial, the last transition and the Holocene. The two step shape of the deglaciation is remarkably similar for all the ice cores now available on the East Antarctic plateau. The first warming trend ends about 14000 years ago and is followed by the well marked Antarctic Cold Reversal (ACR) with a secondary peak common to all records. During the deglaciation, there are more similarities between the near coastal site of Taylor Dome and inland East Antarctica than between Taylor Dome and central Greenland. However, the results for EPICA do appear to confirm the Taylor Dome timescale after about 14 ka, showing cooling into the ACR roughly in phase between Greenland and Antarctica. While the overall deglacial pattern is asynchronous, this suggests that the now classical picture of a temperature seesaw between Antarctica and Greenland may be too simplistic.</t>
  </si>
  <si>
    <t>CEA Saclay, Lab Sci Climat &amp; Environm, F-91191 Gif Sur Yvette, France; Univ Trieste, Dept Geol Environm &amp; Marine Sci, Trieste, Italy; Univ Copenhagen, Dept Geophys, Copenhagen, Denmark; Univ Iceland, Inst Sci, IS-107 Reykjavik, Iceland; CNRS, Lab Glaciol &amp; Geophys Environm, St Martin Dheres, France; Univ Bern, Inst Phys, Bern, Switzerland; Free Univ Brussels, Dept Sci Terre &amp; Environm, Brussels, Belgium; Arctic &amp; Antarctic Res Inst, St Petersburg 199226, Russia</t>
  </si>
  <si>
    <t>Universite Paris Saclay; CEA; Centre National de la Recherche Scientifique (CNRS); University of Trieste; University of Copenhagen; University of Iceland; Centre National de la Recherche Scientifique (CNRS); University of Bern; Universite Libre de Bruxelles; Arctic &amp; Antarctic Research Institute</t>
  </si>
  <si>
    <t>CEA Saclay, Lab Sci Climat &amp; Environm, Bat 709, F-91191 Gif Sur Yvette, France.</t>
  </si>
  <si>
    <t>masson@lsce.saclay.cea.fr</t>
  </si>
  <si>
    <t>AUG 15</t>
  </si>
  <si>
    <t>10.1029/2000GL012243</t>
  </si>
  <si>
    <t>461CV</t>
  </si>
  <si>
    <t>WOS:000170348100036</t>
  </si>
  <si>
    <t>Venegas, SA; Drinkwater, MR</t>
  </si>
  <si>
    <t>Sea ice, atmosphere and upper ocean variability in the Weddell Sea, Antarctica</t>
  </si>
  <si>
    <t>CLIMATE VARIABILITY; COASTAL POLYNYAS; BOTTOM WATER; INTERANNUAL VARIABILITY; SURFACE-TEMPERATURE; MOTION; CIRCULATION; EXCHANGE; MODES; HEMISPHERE</t>
  </si>
  <si>
    <t>A frequency domain singular value decomposition is performed on 20 years (1979-1998) of monthly sea ice concentration, sea ice drift and sea level pressure data in the Weddell Sea, Antarctica. Interannual oscillations with periods of around 3-4 years are found to dominate the variability in this region. Anomalous atmospheric patterns periodically reach the 'Weddell Sea from the west and perturb the sea ice circulation and distribution in the Weddell Gyre through changes in the intensity and direction of the climatological winds. Sea ice accumulates in the southeastern Weddell Sea every 3-4 years owing to two atmospherically driven processes: (1) weak ice export to the north due to a weak northward branch of the gyre (driven by weak southerly winds) and (2) large ice import from the east due to a strong East Wind Drift (driven by strong easterly winds along the coast). The opposite situation gives rise to a depletion of sea ice in the same region half a cycle later. Sea ice anomalies are then advected north-northeastward before turning eastward in the gyre circulation. The eastward propagation of ice anomalies along the ice margin accounts for the passage of the Antarctic Circumpolar Wave through the Atlantic sector of the Southern Ocean. A low frequency signal is also detected in the Weddell Sea variations, albeit rather speculatively in this 20-year-long record. Sea ice variability on this timescale appears to be associated with a change in the shape and characteristics of the Weddell Gyre circulation around 1990. This mode of variability implicates feedbacks between the gyre and Weddell Deep Water temperature variations, whose impact is observed near the Maud Rise topographic feature.</t>
  </si>
  <si>
    <t>Univ Copenhagen, Niels Bohr Inst Astron Phys &amp; Geophys, Danish Ctr Earth Syst Sci, DK-2100 Copenhagen, Denmark; European Space Agcy, Estec, Oceans Ice Unit,APP, FSO, NL-2200 AG Noordwijk, Netherlands; CALTECH, Jet Prop Lab, Pasadena, CA USA</t>
  </si>
  <si>
    <t>University of Copenhagen; Niels Bohr Institute; European Space Agency; California Institute of Technology; National Aeronautics &amp; Space Administration (NASA); NASA Jet Propulsion Laboratory (JPL)</t>
  </si>
  <si>
    <t>Univ Copenhagen, Niels Bohr Inst Astron Phys &amp; Geophys, Danish Ctr Earth Syst Sci, Juliane Maries Vej 30, DK-2100 Copenhagen, Denmark.</t>
  </si>
  <si>
    <t>silvia@dcess.ku.dk; mark.drinkwater@esa.int</t>
  </si>
  <si>
    <t>Drinkwater, Mark/C-2478-2011</t>
  </si>
  <si>
    <t>Drinkwater, Mark/0000-0002-9250-3806</t>
  </si>
  <si>
    <t>C8</t>
  </si>
  <si>
    <t>10.1029/2000JC000594</t>
  </si>
  <si>
    <t>460UB</t>
  </si>
  <si>
    <t>WOS:000170326000010</t>
  </si>
  <si>
    <t>Relationship between ice decay and solar heating through open water in the Antarctic sea ice zone</t>
  </si>
  <si>
    <t>SOUTHERN-OCEAN; MIXED-LAYER; MODEL; EXCHANGE; COVER; DRIFT</t>
  </si>
  <si>
    <t>We demonstrate the importance of heat entering the open water area from the atmosphere on sea ice decay in the Antarctic Ocean. The heat budget analyses, both from the European Centre for Medium-Range Weather Forecasts and the in situ data, show that the net heat input at the water surface reaches 100-150 W m(-2) in the active ice melting season due to large solar heating, while that at the ice surface is nearly zero because of the difference in surface albedo. Thus heat input to the ice-upper ocean system can be approximated as the product of the net heat at the water surface and the fraction of open water. Climatology data show that the total heat input to the upper ocean in the active melting season is comparable to the total latent heat required for sea ice melting in the whole Antarctic sea ice zone. The temporal variation of the heat input to the upper ocean corresponds well to the melting rate of sea ice, which is calculated from the Special Sensor Microwave Imager (SSM/I) data, in large ice extent sectors where the effect of advection is relatively small. These results suggest that melting of sea ice in the Antarctic Ocean is mostly accomplished by the heat input to the upper ocean through the open water area. On seasonal timescales the amount of heat supplied to the upper ocean is determined by the seasonal cycle of net heat input at the water surface, whereas the variability on shorter timescales and interannual differences are determined by the variation of the open water fraction.</t>
  </si>
  <si>
    <t>Hokkaido Univ, Inst Low Temp Sci, Kita Ku, Sapporo, Hokkaido 0600819, Japan</t>
  </si>
  <si>
    <t>Hokkaido Univ, Inst Low Temp Sci, Kita Ku, Kita 19,Nishi 8, Sapporo, Hokkaido 0600819, Japan.</t>
  </si>
  <si>
    <t>sohey@lowtem.hokudai.ac.jp; ohshima@lowtem.hokudai.ac.jp</t>
  </si>
  <si>
    <t>10.1029/2000JC000399</t>
  </si>
  <si>
    <t>WOS:000170326000011</t>
  </si>
  <si>
    <t>Penduff, T; Barnier, B; Béranger, K; Verron, J</t>
  </si>
  <si>
    <t>Comparison of near-surface mean and eddy flows from two numerical models of the South Atlantic Ocean</t>
  </si>
  <si>
    <t>CIRCULATION MODEL; BOTTOM TOPOGRAPHY; WATER</t>
  </si>
  <si>
    <t>The near-surface mean and eddy flows simulated by two eddy-permitting models of the South Atlantic (S-coordinate Primitive Equation Model (SPEM) and Ocean Parallel (OPA) model) are compared. These models are intrinsically different by virtue of their vertical discretizations (sigma versus geopotential coordinates, respectively), so that their solutions differ essentialy, through the representation of current-topography interactions. The path of the Agulhas Current, the generation process, the characteristics, and the subsequent trajectory of the Agulhas rings are differently affected by topography in the two models. Along the American western boundary, SPEM traps a larger part of the Antarctic Circumpolar Current (ACC) around the Falkland Plateau and consequently produces a stronger Malvinas Current, which overshoots far to the north, inshore of a rather realistic Brazil Current and Confluence regime. In contrast, OPA allows a large part of the ACC to flow across the Scotia Sea, produces a weaker Malvinas Current, traps the Brazil and Malvinas Currents along the American coast, and tends to distort the complex dynamics of the Confluence region and the Zapiola anticyclone. Some of these differences can be attributed to the particularities of each vertical coordinate system and to the representation of topographic slopes (staircases in OPA and facettes in SPEM). More generally, the topographic constraint (trapping of boundary currents and interaction of mean and eddy flows with bathymetry) is stronger in SPEM than in OPA. The topographic smoothing usually performed in sigma coordinate models removes mesoscale topographic roughness and reduces topographic slopes. This treatment is probably responsible for several of the differences observed in the numerical solutions.</t>
  </si>
  <si>
    <t>Lab Ecoulements Geophys &amp; Ind, Grenoble, France</t>
  </si>
  <si>
    <t>Communaute Universite Grenoble Alpes; Institut National Polytechnique de Grenoble; Universite Grenoble Alpes (UGA); Centre National de la Recherche Scientifique (CNRS)</t>
  </si>
  <si>
    <t>Florida State Univ, Ctr Ocean Atmospher Predict Studies, Tallahassee, FL 32306 USA.</t>
  </si>
  <si>
    <t>tpenduff@coaps.fsu.edu</t>
  </si>
  <si>
    <t>Penduff, Thierry/AAH-6554-2021; Barnier, Bernard/F-2400-2016</t>
  </si>
  <si>
    <t>Penduff, Thierry/0000-0002-0407-8564;</t>
  </si>
  <si>
    <t>10.1029/2000JC000519</t>
  </si>
  <si>
    <t>WOS:000170326000018</t>
  </si>
  <si>
    <t>Lavier, LL; Steckler, MS; Brigaud, F</t>
  </si>
  <si>
    <t>Climatic and tectonic control on the Cenozoic evolution of the West African margin</t>
  </si>
  <si>
    <t>margin; West Africa; climate change; tectonics; cenozoic; sedimentation and erosion</t>
  </si>
  <si>
    <t>SEA-LEVEL CHANGES; CONTINENTAL-MARGIN; PASSIVE MARGIN; OLIGOCENE; GABON; PLATE; OCEAN; CONVECTION; SUPERSWELL; MOTIONS</t>
  </si>
  <si>
    <t>We reconstruct the stratigraphy and paleowater depths along two seismic profiles across the Congo and Angolan margins from the Eocene to the present. The results indicate that in the Eocene, both margins had deep-water carbonate shelves with shelf breaks lying at about 500 m water depth. At the Eocene-Oligocene transition, submarine erosion removed as much as 1000 m of sediments from the upper slope and shelf break of the margin. In the Miocene, the rate of terrigenous sediment supply increased dramatically and progradation of clinoform-shaped deposits resulted in the shallowing to the water depth of modern margin. We also found that there was a tectonic reactivation of the West African margin in the Miocene. This caused the uplift of the margin by at least 500 m and consequent erosion of the shelf. The evolution of the West African margin postrift stratigraphy and paleowater depth do not result only from the interaction between thermal subsidence, absolute sea-level change and sediment supply. They are also controlled by global oceanographic and climatic change related to the Tertiary greenhouse to icehouse transition and to the Miocene epierogenic uplift of Africa. Global cooling at the Eocene-Oligocene transition affected the sedimentation of the margin by replacing the carbonate sedimentation of the Eocene by terrigenous siliciclastic sedimentation in the Oligocene and Miocene. The related onset of intermediate depth Antarctic oceanic currents may have triggered the submarine erosion and mass wasting at the Eocene-Oligocene transition. The increase in sedimentation off Angola seems to be dominated by the effect of global cooling in the Oligocene and in the Miocene. A major pulse of sedimentation on the Angolan margin correlates with the middle Miocene delta O-18 shift marking the beginning of permanent glaciation of Antarctica. However, the sedimentation in Congo contains no such pulse. Rather, it correlates with the gradual Miocene tectonic uplift of Africa. Miocene sedimentation on the Angolan profile may be more sensitive to global climatic change since it receives the discharge of the large Congo River drainage system. Sedimentation in the Congo profile is less affected by the Congo River. The sedimentation here may reflect the supply from the regional rivers that erode the edge of the uplifted margin and, therefore, the local erosion caused by the Miocene uplift of the margin. However, we note that large-scale shifts in the depocenter of the Congo River may confound this interpretation. (C) 2001 Elsevier Science B.V. All rights reserved.</t>
  </si>
  <si>
    <t>Columbia Univ, Lamont Doherty Earth Observ, Palisades, NY 10964 USA; Columbia Univ, Dept Earth &amp; Environm Sci, New York, NY USA; Elf Explorat Prod, CSTJF, Pau, France</t>
  </si>
  <si>
    <t>Columbia University; Columbia University; Total SA; Centre Scientifique et Technique Jean Feger (CSTJF)</t>
  </si>
  <si>
    <t>Lavier, LL (corresponding author), CALTECH, Seismol Lab, MS 252-21, Pasadena, CA 91125 USA.</t>
  </si>
  <si>
    <t>Lavier, Luc L./G-6141-2010</t>
  </si>
  <si>
    <t>Steckler, Michael/0000-0002-4828-4319; Lavier, Luc/0000-0001-7839-4263</t>
  </si>
  <si>
    <t>1-4</t>
  </si>
  <si>
    <t>10.1016/S0025-3227(01)00175-X</t>
  </si>
  <si>
    <t>470ME</t>
  </si>
  <si>
    <t>WOS:000170875100004</t>
  </si>
  <si>
    <t>Eyles, N; Daniels, J; Osterman, LE; Januszczak, N</t>
  </si>
  <si>
    <t>Ocean Drilling Program Leg 178 (Antarctic Peninsula): sedimentology of glacially influenced continental margin topsets and foresets</t>
  </si>
  <si>
    <t>Ocean Drilling Program; Antarctic Peninsula; continental margin topsets and foresets; diamictite; deformation till; debris flow</t>
  </si>
  <si>
    <t>LAURENTIDE ICE-SHEET; DEBRIS FLOWS; SEISMIC STRATIGRAPHY; PACIFIC MARGIN; BARENTS-SEA; STREAM-B; SEDIMENTATION; DEPOSITION; CANADA; SLOPE</t>
  </si>
  <si>
    <t>Ocean Drilling Program Leg 178 (February-April 1998) drilled two sites (Sites 1097 and 1103) on the outer Antarctic Peninsula Pacific continental shelf. Recovered strata are no older than late Miocene or early Pliocene (&lt;4.6 Ma). Recovery at shallow depths in loosely consolidated and iceberg-turbated bouldery sediment was poor but improved with increasing depth and consolidation to allow description of lithofacies and biofacies and interpretation of depositional environment. Site 1097 lies on the outer shelf within Marguerite Trough which is a major outlet for ice expanding seaward from the Antarctic Peninsula and reached a maximum depth drilled of 436.6 m below the sea floor (mbsf). Seismic stratigraphic data show flat-lying upper strata resting on strata that dip gently seaward. Uppermost strata, to a depth of 150 mbsf, were poorly recovered, but data suggest they consist of diamictites containing reworked and abraded marine microfauna. This interval is interpreted as having been deposited largely as till produced by subglacial cannibalization of marine sediments (deformation till) recording ice sheet expansion across the shelf. Underlying gently dipping strata show massive, stratified and graded diamictite facies with common bioturbation and slump stuctures that are interbedded with laminated and massive mudstones with dropstones. The succession contains a well-preserved in situ marine microfauna typical of open marine and proglacial marine environments. The lower gently dipping succession at Site 1097 is interpreted as a complex of sediment gravity flows formed of poorly sorted glacial debris. Site 1103 was drilled in that part of the continental margin that shows uppermost flat-lying continental shelf topsets overlying steeper dipping slope foresets seaward of a structural mid-shelf high. Drilling reached a depth of 363 mbsf with good recovery in steeply dipping continental slope foreset strata. Foreset strata are dominated by massive and chaotically stratified diamictites interbedded with massive and graded sandstones and mudstones. The sedimentary record and seismic stratigraphy is consistent with deposition on a continental slope from debris flows and turbidity currents released from a glacial source. Data from Sites 1097 and 1103 suggest the importance of aggradation of the Antarctic Peninsula continental shelf by till deposition and progradation of the slope by mass flow. This may provide a model for the interpretation of Palaeozoic and Proterozoic glacial successions that accumulated on glacially influenced continental margins. Published by Elsevier Science B.V.</t>
  </si>
  <si>
    <t>Univ Toronto, Dept Geol, Scarborough, ON M1C 1A4, Canada; Univ Melbourne, Sch Earth Sci, Parkville, Vic 3052, Australia; US Geol Survey, Reston, VA 20192 USA</t>
  </si>
  <si>
    <t>University of Toronto; University Toronto Scarborough; University of Melbourne; United States Department of the Interior; United States Geological Survey</t>
  </si>
  <si>
    <t>Eyles, N (corresponding author), Univ Toronto, Dept Geol, 1265 Mil Trail, Scarborough, ON M1C 1A4, Canada.</t>
  </si>
  <si>
    <t>Daniels, J. Michael/F-1117-2013</t>
  </si>
  <si>
    <t>Daniels, J. Michael/0000-0002-1673-4231</t>
  </si>
  <si>
    <t>10.1016/S0025-3227(01)00184-0</t>
  </si>
  <si>
    <t>WOS:000170875100008</t>
  </si>
  <si>
    <t>Dzik, J; Gazdzicki, A</t>
  </si>
  <si>
    <t>The Eocene expansion of nautilids to high latitudes</t>
  </si>
  <si>
    <t>PALAEOGEOGRAPHY PALAEOCLIMATOLOGY PALAEOECOLOGY</t>
  </si>
  <si>
    <t>nautilids; Seymour Island; Antarctica; Eocene; bathymetry</t>
  </si>
  <si>
    <t>LA-MESETA FORMATION; SEYMOUR-ISLAND; MIDDLE EOCENE; ANTARCTICA; TERTIARY; STRATIGRAPHY; PALEOCEANOGRAPHY; TEMPERATURES; EVOLUTION; MOLLUSCA</t>
  </si>
  <si>
    <t>A short-term return of environmental conditions similar to those of the end-Cretaceous is marked by the reappearance of nautiloid cephalopods in the lower-middle Eocene La Meseta Formation of Seymour Island, Antarctic Peninsula. Previous findings have been supplemented by a collections of 33 specimens. The nautiloids come from several horizons, the oldest sample apparently being located close to the base of the formation (Telm1), the most numerous coming from the Cucullaea bed of Telm2 and 3. A few specimens were collected from Telm4-6. The La Meseta Formation nautiloid assemblages developed apparently in response to one of the Eocene warmings and resulting transgression of a warm sea. The incursion of nautiloids into southern high latitudes was roughly coeval with their expansion to the northern European seas and the succession of faunas was parallel in both regions. Based on the analogy with the lower Eocene London Clay nautiloid assemblages an estimate of bathymetric evolution of the environment can be made by. The presence of a relatively shallow-water form similar to Cimomia imperialis close to the base of the lower-middle Eocene La Meseta Formation (Telm1) marks the beginning of the marine transgression. The dominant La Meseta species, Euciphoceras argentinae, was apparently an analogue of the English E. regale, the occurrence of which in the London Clay corresponds to the highest sea level stand. The presence of Aturia in the higher part (Telm4 and 5) of the La Meseta Formation suggests that cold oceanic waters possibly entered the area, accompanied by a sea-level drop. The last nautiloid (Telm6) is an Euciphoceras sp., interpreted to be indicative of shallower habitat depth limits. Both incursion of the nautiloids to, and their disappearance from the Eocene high latitudes were connected with a fundamental rearrangement of the geographic distribution of particular lineages. (C) 2001 Elsevier Science B.V. All rights reserved.</t>
  </si>
  <si>
    <t>Polish Acad Sci, Inst Paleobiol, PL-00818 Warsaw, Poland</t>
  </si>
  <si>
    <t>Polish Academy of Sciences; Institute of Paleobiology of the Polish Academy of Sciences</t>
  </si>
  <si>
    <t>Dzik, J (corresponding author), Polish Acad Sci, Inst Paleobiol, Twarda 51-55, PL-00818 Warsaw, Poland.</t>
  </si>
  <si>
    <t>Andrzej, Gazdzicki/AAW-2137-2020</t>
  </si>
  <si>
    <t>Andrzej, Gazdzicki/0000-0003-2001-3282; Dzik, Jerzy/0000-0003-3610-7451</t>
  </si>
  <si>
    <t>0031-0182</t>
  </si>
  <si>
    <t>PALAEOGEOGR PALAEOCL</t>
  </si>
  <si>
    <t>Paleogeogr. Paleoclimatol. Paleoecol.</t>
  </si>
  <si>
    <t>10.1016/S0031-0182(01)00304-2</t>
  </si>
  <si>
    <t>Geography, Physical; Geosciences, Multidisciplinary; Paleontology</t>
  </si>
  <si>
    <t>Physical Geography; Geology; Paleontology</t>
  </si>
  <si>
    <t>467AY</t>
  </si>
  <si>
    <t>WOS:000170679400008</t>
  </si>
  <si>
    <t>Gladczenko, TP; Coffin, MF</t>
  </si>
  <si>
    <t>Kerguelen Plateau crustal structure and basin formation from seismic and gravity data</t>
  </si>
  <si>
    <t>JOURNAL OF GEOPHYSICAL RESEARCH-SOLID EARTH</t>
  </si>
  <si>
    <t>OCEAN-BOTTOM SEISMOMETER; ICELAND RIDGE EXPERIMENT; SOUTHERN INDIAN-OCEAN; BROKEN RIDGE; CONTINENTAL-CRUST; REFRACTION MEASUREMENTS; BASEMENT REFLECTORS; PASSIVE MARGINS; DEEP-STRUCTURE; RAGGATT BASIN</t>
  </si>
  <si>
    <t>We use multichannel seismic data, gravity, and subsidence modeling, in conjunction with plate reconstructions, to evaluate the crustal origin and composition of the Kerguelen Plateau. Predominantly oceanic crust of the southern and parts of the central Kerguelen Plateau appears to include continental fragments related to the breakup of India and Antarctica; these fragments may have been metamorphosed during emplacement of the main plateau. The upper crust is basaltic, the middle crust is intrusive mafic rock and intruded continental crust, and the lower crust is a plagioclase-rich metamorphic rock. The Labuan Basin crust is predominantly oceanic with stranded Kerguelen Plateau fault blocks. High-density lower crust in the Labuan Basin is probably composed of serpentinized peridotites formed during slow rifting and spreading. Plate reconstruction models indicate opening between eastern Broken Ridge and southern Kerguelen Plateau at similar to 90 Ma, heralding the formation of the Labuan Basin and Diamantina Zone; crustal attenuation and slow accretion of oceanic crust continued until the Australian and Antarctic plates separated at C18 time (similar to 40 Ma). Plate reconstructions of the free-air gravity field indicate that the Naturaliste Plateau fits against Antarctica and that Elan Bank and India were juxtaposed until similar to 110 Ma, Both Naturaliste Plateau and Elan Bank are probable microcontinents. A similar to1 km positive residual depth anomaly in the oceanic basins adjacent to the plateau, along with the positive geoid anomaly centered beneath the northern Kerguelen Plateau, imply that the lithosphere is partially dynamically supported by an upwelling hot asthenosphere of the Kerguelen hot spot.</t>
  </si>
  <si>
    <t>Dynam Graph Inc, Alameda, CA 94501 USA; Univ Texas, Inst Geophys, Austin, TX 78759 USA</t>
  </si>
  <si>
    <t>University of Texas System; University of Texas Austin</t>
  </si>
  <si>
    <t>Dynam Graph Inc, 1015 Atlantic Ave, Alameda, CA 94501 USA.</t>
  </si>
  <si>
    <t>tad@dgi.com; mikec@ig.utexas.edu</t>
  </si>
  <si>
    <t>Coffin, Millard F/H-4619-2011</t>
  </si>
  <si>
    <t>Coffin, Millard F/0000-0001-9960-0038</t>
  </si>
  <si>
    <t>2169-9313</t>
  </si>
  <si>
    <t>2169-9356</t>
  </si>
  <si>
    <t>J GEOPHYS RES-SOL EA</t>
  </si>
  <si>
    <t>J. Geophys. Res.-Solid Earth</t>
  </si>
  <si>
    <t>AUG 10</t>
  </si>
  <si>
    <t>B8</t>
  </si>
  <si>
    <t>10.1029/2001JB000370</t>
  </si>
  <si>
    <t>461LF</t>
  </si>
  <si>
    <t>WOS:000170365200034</t>
  </si>
  <si>
    <t>Keeling, RF; Visbeck, M</t>
  </si>
  <si>
    <t>Palaeoceanography -: Antarctic stratification and glacial CO2</t>
  </si>
  <si>
    <t>CIRCULATION MODELS; OCEAN CIRCULATION; ATMOSPHERIC CO2; WATER; ICE</t>
  </si>
  <si>
    <t>Univ Calif San Diego, Scripps Inst Oceanog, La Jolla, CA 92093 USA; Lamont Doherty Earth Observ, Palisades, NY 10964 USA</t>
  </si>
  <si>
    <t>University of California System; University of California San Diego; Scripps Institution of Oceanography; Columbia University</t>
  </si>
  <si>
    <t>Keeling, RF (corresponding author), Univ Calif San Diego, Scripps Inst Oceanog, La Jolla, CA 92093 USA.</t>
  </si>
  <si>
    <t>Visbeck, Martin H/B-6541-2016; Visbeck, Martin/G-2461-2011</t>
  </si>
  <si>
    <t>Visbeck, Martin H/0000-0002-0844-834X; Visbeck, Martin/0000-0002-0844-834X</t>
  </si>
  <si>
    <t>AUG 9</t>
  </si>
  <si>
    <t>10.1038/35088129</t>
  </si>
  <si>
    <t>460PP</t>
  </si>
  <si>
    <t>WOS:000170318000030</t>
  </si>
  <si>
    <t>Sigman, DM; Boyle, EA</t>
  </si>
  <si>
    <t>Palaeoceanography -: Antarctic stratification and glacial CO2 -: Sigman and Boyle reply</t>
  </si>
  <si>
    <t>ATMOSPHERIC CARBON-DIOXIDE; SOUTHERN-OCEAN; SEA-ICE; MAXIMUM</t>
  </si>
  <si>
    <t>Princeton Univ, Dept Geosci, Princeton, NJ 08544 USA; MIT, Dept Earth Atmospher &amp; Planetary Sci, Cambridge, MA 02139 USA</t>
  </si>
  <si>
    <t>Princeton University; Massachusetts Institute of Technology (MIT)</t>
  </si>
  <si>
    <t>Sigman, DM (corresponding author), Princeton Univ, Dept Geosci, Princeton, NJ 08544 USA.</t>
  </si>
  <si>
    <t>Sigman, Daniel M./IYJ-2613-2023; Sigman, Daniel M./A-2649-2008</t>
  </si>
  <si>
    <t>Sigman, Daniel M./0000-0002-7923-1973</t>
  </si>
  <si>
    <t>10.1038/35088132</t>
  </si>
  <si>
    <t>WOS:000170318000031</t>
  </si>
  <si>
    <t>Thiemens, MH; Savarino, J; Farquhar, J; Bao, HM</t>
  </si>
  <si>
    <t>Mass-independent isotopic compositions in terrestrial and extraterrestrial solids and their applications</t>
  </si>
  <si>
    <t>ACCOUNTS OF CHEMICAL RESEARCH</t>
  </si>
  <si>
    <t>ANOMALOUS O-17 COMPOSITIONS; SULFUR-DIOXIDE; OXYGEN-ISOTOPE; METEORITE ALH84001; MARTIAN ATMOSPHERE; O-16-O-18 MIXTURES; HYDROGEN-PEROXIDE; SNC METEORITES; OZONE; MARS</t>
  </si>
  <si>
    <t>In 1983, Thiemens and Heidenreich reported the first chemically produced mass-independent isotope effect. This work has been shown to have a wide range of applications, including atmospheric chemistry, solar system evolution, and chemical physics. This work has recently been reviewed (Weston, R. E. Chem. Rev. 1999, 99, 2115-2136; Thiemens, M. H. Science 1999, 283, 341-345). In this Account, observations of mass-independent isotopic compositions in terrestrial and Martian solids are reviewed. A wide range of applications, including formation and transport of aerosols in the present atmosphere, chemistry of ancient atmospheres and oceans, history and coupling of the atmosphere-surface in the Antarctic dry valleys, origin and evolution of oxygen in the Earth's earliest environment, and the chemistry of the atmosphere and surface of Mars, are discussed.</t>
  </si>
  <si>
    <t>Univ Calif San Diego, Dept Chem &amp; Biochem, La Jolla, CA 92093 USA</t>
  </si>
  <si>
    <t>University of California System; University of California San Diego</t>
  </si>
  <si>
    <t>Univ Calif San Diego, Dept Chem &amp; Biochem, La Jolla, CA 92093 USA.</t>
  </si>
  <si>
    <t>Bao, Huiming/C-1069-2012; Savarino, Joel/H-9730-2012</t>
  </si>
  <si>
    <t>Savarino, Joel/0000-0002-6708-9623</t>
  </si>
  <si>
    <t>0001-4842</t>
  </si>
  <si>
    <t>1520-4898</t>
  </si>
  <si>
    <t>ACCOUNTS CHEM RES</t>
  </si>
  <si>
    <t>Accounts Chem. Res.</t>
  </si>
  <si>
    <t>AUG</t>
  </si>
  <si>
    <t>10.1021/ar960224f</t>
  </si>
  <si>
    <t>467NU</t>
  </si>
  <si>
    <t>WOS:000170711300005</t>
  </si>
  <si>
    <t>Riccio, A; Vitagliano, L; di Prisco, G; Zagari, A; Mazzarella, L</t>
  </si>
  <si>
    <t>Liganded and unliganded forms of Antarctic fish haemoglobins in polyethylene glycol: crystallization of an R-state haemichrome intermediate</t>
  </si>
  <si>
    <t>CRYSTAL-STRUCTURE; PAGOTHENIA-BERNACCHII; TREMATOMUS-NEWNESI; T-STATE; HEMOGLOBIN; RESOLUTION</t>
  </si>
  <si>
    <t>Liganded and unliganded forms of two Antarctic fish haemoglobins, from Trematomus newnesi and T. bernacchii, have been crystallized in low-salt media using polyethylene glycol as precipitant. In particular, crystals of air-exposed T. newnesi carbomonoxy haemoglobin were found to be isomorphous to the crystals grown in high-salt media. Preliminary X-ray analysis of the diffraction data revealed that the beta -haem iron of this haemoglobin is in the haemichrome state, with both the proximal and distal histidyl residues linked to the iron. This is the first crystallization of a haemichrome intermediate of a vertebrate haemoglobin.</t>
  </si>
  <si>
    <t>CNR, Ctr Studio Biocristallog, I-80134 Naples, Italy; CNR, Ist Biochim Prot &amp; Enzimol, I-80125 Naples, Italy; Univ Naples Federico II, Dipartimento Chim, I-80126 Naples, Italy; CEINGE, Biotecnol Avanzate SCARL, Naples, Italy</t>
  </si>
  <si>
    <t>Consiglio Nazionale delle Ricerche (CNR); Consiglio Nazionale delle Ricerche (CNR); Istituto di Biochimica delle Proteine (IBP-CNR); University of Naples Federico II; CEINGE Biotecnologie Avanzate</t>
  </si>
  <si>
    <t>Mazzarella, L (corresponding author), CNR, Ctr Studio Biocristallog, Via Messocannone 6, I-80134 Naples, Italy.</t>
  </si>
  <si>
    <t>10.1107/S0907444901007739</t>
  </si>
  <si>
    <t>455RV</t>
  </si>
  <si>
    <t>WOS:000170041200013</t>
  </si>
  <si>
    <t>Sinha, RP; Dautz, M; Häder, DP</t>
  </si>
  <si>
    <t>A simple and efficient method for the quantitative analysis of thymine dimers in cyanobacteria, phytoplankton and macroalgae</t>
  </si>
  <si>
    <t>ACTA PROTOZOOLOGICA</t>
  </si>
  <si>
    <t>antibody; chemiluminescence; cyanobacteria; macroalgae; phytoplankton; thymine dimers; UV radiation</t>
  </si>
  <si>
    <t>ULTRAVIOLET-B RADIATION; SINGLE-STRAND BREAKS; INDUCED DNA LESIONS; UV-B; OZONE DEPLETION; ANTARCTIC PHYTOPLANKTON; PYRIMIDINE DIMERS; EXCISION-REPAIR; ACTION SPECTRUM; GROWTH-RATE</t>
  </si>
  <si>
    <t>Cyclobutane dimers are the most common DNA lesions after exposure of cells to UV-B radiation. A quantitative method was developed to determine the frequency of thymine dimers in aquatic primary producers such as cyanobacteria, phytoplankton and macroalgae to study the effects of UV radiation. Genomic DNA was extracted and purified by using standard biochemical and molecular biology techniques. DNA was transferred to a nylon membrane in a slot or dot blot and incubated with a primary antibody (anti thymine dimer KTM53) against thymine dimers. The secondary antibody was an anti-mouse IgG (Fab specific) peroxidase conjugate. The blots were quantified in a Kodak Digital Science Image Station 440 CF by the chemiluminescence method. The calibration of the method was achieved by using the plasmid pBSK with known DNA sequence, length and number of adjacent thymine pairs. This method permits the measurement of low as well as high levels of DNA lesions in nanogram quantities of DNA. This method can be used for cultured as well as naturally occurring organisms.</t>
  </si>
  <si>
    <t>Univ Erlangen Nurnberg, Inst Bot &amp; Pharmazeut Biol, D-91058 Erlangen, Germany</t>
  </si>
  <si>
    <t>University of Erlangen Nuremberg</t>
  </si>
  <si>
    <t>dphaeder@biologie.uni-erlangen.de</t>
  </si>
  <si>
    <t>JAGIELLONIAN UNIV, INST ENVIRONMENTAL SCIENCES</t>
  </si>
  <si>
    <t>KRAKOW</t>
  </si>
  <si>
    <t>GRONOSTAJOWA 7, KRAKOW, 30-387, POLAND</t>
  </si>
  <si>
    <t>0065-1583</t>
  </si>
  <si>
    <t>1689-0027</t>
  </si>
  <si>
    <t>ACTA PROTOZOOL</t>
  </si>
  <si>
    <t>Acta Protozool.</t>
  </si>
  <si>
    <t>467FW</t>
  </si>
  <si>
    <t>WOS:000170692600003</t>
  </si>
  <si>
    <t>Urbini, S; Vittuari, L; Gandolfi, S</t>
  </si>
  <si>
    <t>GPR and GPS data integration: examples of application in Antarctica</t>
  </si>
  <si>
    <t>ANNALI DI GEOFISICA</t>
  </si>
  <si>
    <t>GPR; GPS; geophysics; geodesy; Antarctica</t>
  </si>
  <si>
    <t>DRONNING MAUD LAND; DIELECTRIC-CONSTANT; EAST ANTARCTICA; POLAR FIRN; SNOW; ICE</t>
  </si>
  <si>
    <t>Ground Penetrating Radar (GPR) and Global Positioning System (GPS) techniques were employed in snow accumulation studies during the Italian leg of the International Trans-Antarctic Scientific Expedition (ITASE). The acquired data were useful both for glaciological and climatological studies. This paper presents some results obtained by GPR and GPS data integration employed to determine accumulation/ablation processes along the profile of the traverse that show how the snow-sublayer thickness can vary quickly in just a few kilometres. Some examples of data integration employed in detection and characterisation of buried crevasses are also presented.</t>
  </si>
  <si>
    <t>Univ Bologna, DISTART, I-40136 Bologna, Italy; Univ Genoa, DIPTERIS, INGV, Genoa, Italy</t>
  </si>
  <si>
    <t>University of Bologna; Istituto Nazionale Geofisica e Vulcanologia (INGV); University of Genoa</t>
  </si>
  <si>
    <t>Gandolfi, S (corresponding author), Univ Bologna, DISTART, Viale Risorgimento 2, I-40136 Bologna, Italy.</t>
  </si>
  <si>
    <t>Vittuari, Luca/C-1606-2018; Gandolfi, Stefano/A-4892-2016</t>
  </si>
  <si>
    <t>urbini, stefano/0000-0002-8053-4197; Gandolfi, Stefano/0000-0003-2096-5670; Vittuari, Luca/0000-0002-9815-1004</t>
  </si>
  <si>
    <t>EDITRICE COMPOSITORI BOLOGNA</t>
  </si>
  <si>
    <t>SIENA</t>
  </si>
  <si>
    <t>VIA SAN QUIRICO 13/2, I-53100 SIENA, ITALY</t>
  </si>
  <si>
    <t>1590-1815</t>
  </si>
  <si>
    <t>ANN GEOFIS</t>
  </si>
  <si>
    <t>Ann. Geofis.</t>
  </si>
  <si>
    <t>499QW</t>
  </si>
  <si>
    <t>WOS:000172582700003</t>
  </si>
  <si>
    <t>Kleman, J; Marchant, D; Borgström, I</t>
  </si>
  <si>
    <t>Geomorphic evidence for late glacial ice dynamics on southern Baffin Island and in outer Hudson Strait, Nunavut, Canada</t>
  </si>
  <si>
    <t>DEGLACIAL CHRONOLOGY; UNGAVA PENINSULA; MARGINS; QUEBEC; LABRADOR; ADVANCE; SHEET; BP</t>
  </si>
  <si>
    <t>We here describe glacial geomorphology that sheds light on ice-dynamic conditions during the Noble Inlet advance, a glacial event involving northward ice flow across Hudson Strait and large-magnitude meltwater drainage across Meta Incognita Peninsula at around 8.9 to 8.4 C-14 kyr BP. Through airphoto interpretation and field inspection of key sites we mapped the glacial geomorphology of interior Meta Incognita Peninsula, the postulated terminal zone for northward expansion of ice from Quebec-Labrador during the Noble Inlet advance. A 170-km-long zone of glaciofluvial canyons, washing zones and boulder deltas was traced from Shaftesbury Inlet to Henderson Inlet. This zone reflects initial drainage across Meta Incognita Peninsula at &gt; 520 m elevation, followed by ice marginal drainage at progressively lower levels along the southern slope of the peninsula. The ice marginal outline required to explain the glaciofluvial zone is compatible with northward-trending striae previously reported from the southern coast of Meta Incognita Peninsula. A very large flux of meltwater across Meta Incognita Peninsula probably occurred because eastward supraglacial drainage on ice in Hudson Strait was temporarily impeded and steered northward by a raised ice surface level in outer Hudson Strait, induced by an enhanced outflow of ice from Ungava Bay.</t>
  </si>
  <si>
    <t>Stockholm Univ, Dept Phys Geog, S-10691 Stockholm, Sweden; Boston Univ, Dept Earth Sci, Boston, MA 02215 USA</t>
  </si>
  <si>
    <t>Stockholm University; Boston University</t>
  </si>
  <si>
    <t>Stockholm Univ, Dept Phys Geog, S-10691 Stockholm, Sweden.</t>
  </si>
  <si>
    <t>kleman@natgeo.su.se</t>
  </si>
  <si>
    <t>10.2307/1552231</t>
  </si>
  <si>
    <t>469VF</t>
  </si>
  <si>
    <t>WOS:000170836200001</t>
  </si>
  <si>
    <t>Hiemstra, JF</t>
  </si>
  <si>
    <t>Microscopic analyses of Quaternary glacigenic sediments of Marguerite Bay, Antarctic Peninsula</t>
  </si>
  <si>
    <t>CONTINENTAL-SHELF; ROSS SEA; DEPOSITS; DEFORMATION; MICROSTRUCTURES; DIAMICTONS; TILL</t>
  </si>
  <si>
    <t>Micromorphological analyses were carried out on a selection of thin-sectioned intervals of Deep Freeze 1985 cores from Marguerite Bay, Antarctic Peninsula, to test previous interpretations with respect to the local Quaternary glacial history. Results show that both deformed, and pristine glacimarine deposits are preserved in the sedimentary record. Many of the deformational features that were recognized with the aid of the microscope were previously unidentified. Interpretations in this study are based on certain combinations of planar and circular microstructures. Some associations are clearly associated with the process of subglacial shearing, others with gravity-driven sediment movements or coring imperfections. The number of mass movement deposits identified in the record is significantly higher than in previous studies. Subglacially deformed sediments were found in cores from the southwest part of the bay. This thin section study supports scenarios suggesting the presence of grounded ice on the Marguerite Bay continental shelf during the Last Glacial Maximum.</t>
  </si>
  <si>
    <t>Univ Amsterdam, Inst Biodivers &amp; Ecosyst Dynam Phys Geog, NL-1018 WV Amsterdam, Netherlands</t>
  </si>
  <si>
    <t>University of Amsterdam</t>
  </si>
  <si>
    <t>Hiemstra, JF (corresponding author), Univ Amsterdam, Inst Biodivers &amp; Ecosyst Dynam Phys Geog, Nieuwe Achtergracht 166, NL-1018 WV Amsterdam, Netherlands.</t>
  </si>
  <si>
    <t>Hiemstra, John F/E-4192-2013</t>
  </si>
  <si>
    <t>10.2307/1552232</t>
  </si>
  <si>
    <t>WOS:000170836200002</t>
  </si>
  <si>
    <t>Winchester, V; Harrison, S; Warren, CR</t>
  </si>
  <si>
    <t>Recent retreat Glaciar Nef, Chilean Patagonia, dated by lichenometry and dendrochronology</t>
  </si>
  <si>
    <t>SOUTH-AMERICA; ICEFIELD; FLUCTUATIONS; NORTE</t>
  </si>
  <si>
    <t>This paper presents the results of a lichenometric and dendrochronological study of the recent retreat history of Glaciar Nef, an eastern outlet glacier of the Hielo Patagonico Norte. A 600-yr tree regeneration time, based on maximum tree age in the ancient forest, suggests that the forest-clad lateral moraines in the valley, southeast of the 19th century terminal moraine system, were formed some time before A.D. 1370. Dating estimates suggest that retreat from a 19th century maximum began around 1863, a decade or two earlier than the date established for other glaciers in the region, with glacier thinning near the ice front averaging 1.11 ra yr(-1) between 1863-1881. After 1884, retreat seems to have slowed, with glacier thinning averaging 0.09 m yr(-1). Lichen and tree dating suggests that the glacier had retreated approximately 500 m by 1938; this estimate is supported by an aerial photograph showing a proglacial lake just beginning to form in 1944. Recent glacier movements around the Hielo Patagonico Norte are discussed and it is concluded that the general trend of glacier retreat around the icefield, beginning in the 1860s to 1870s, is consistent with Northern Hemisphere trends.</t>
  </si>
  <si>
    <t>Univ Oxford, Sch Geog &amp; Environm, Oxford OX1 3TB, England; Coventry Univ, Quaternary Res Ctr, Div Geog, Coventry CV1 5FB, W Midlands, England; Univ St Andrews, Sch Geog &amp; Geosci, St Andrews KY16 9ST, Fife, Scotland</t>
  </si>
  <si>
    <t>University of Oxford; Coventry University; University of St Andrews</t>
  </si>
  <si>
    <t>Winchester, V (corresponding author), Univ Oxford, Sch Geog &amp; Environm, S Parks Rd, Oxford OX1 3TB, England.</t>
  </si>
  <si>
    <t>10.2307/1552233</t>
  </si>
  <si>
    <t>WOS:000170836200003</t>
  </si>
  <si>
    <t>Gunnarson, BE</t>
  </si>
  <si>
    <t>Lake level changes indicated by dendrochronology on subfossil pine, jamtland, central Scandinavian mountains, Sweden</t>
  </si>
  <si>
    <t>SUMMER TEMPERATURES; RING-WIDTH; HOLOCENE; NORTH; RECONSTRUCTION; FLUCTUATIONS; SEDIMENTS</t>
  </si>
  <si>
    <t>Not only do high-latitude tree-ring data reveal minor and major Holocene climatic variation, but the distribution in time of subfossil trees provides information about former tree-line fluctuation. Over 152 samples of Scots pine (Pinus sylvestris) were collected and measured from lake Lilla Rortjarnen, situated close to the present treeline. Five floating chronologies were built spanning 498 B.C.-A.D. 19, A.D. 50-390, A.D. 431-884, A.D. 946-1256, and A.D. 1337-1865. The floating chronologies were crossdated with a dendrochronology from Tornetrask. No trees were dated from 20-49 A.D., 391-430 A.D., 885-945 A.D., and 1257-1336. A.D.. The temporal distribution of pines in the lake suggests periods of intensive germination. with each phase occurring within 80 to 100 yr from the beginning of each floating chronology. At the end of each phase higher lake levels drowned trees close to the shore. Both the existence and the preservation of the dead pines is likely to have been controlled by changes in lake level.</t>
  </si>
  <si>
    <t>Stockholm Univ, Dept Phys Geog, S-10691 Stockholm, Sweden</t>
  </si>
  <si>
    <t>bjorne@natgeo.su.se</t>
  </si>
  <si>
    <t>Gunnarson, Björn/AAL-1309-2021</t>
  </si>
  <si>
    <t>10.2307/1552234</t>
  </si>
  <si>
    <t>WOS:000170836200004</t>
  </si>
  <si>
    <t>Carcaillet, C; Talon, B</t>
  </si>
  <si>
    <t>Soil carbon sequestration by Holocene fires inferred from soil charcoal in the dry French Alps</t>
  </si>
  <si>
    <t>HISTORY</t>
  </si>
  <si>
    <t>The current global carbon budget has a missing sink, which is believed to be in terrestrial ecosystems. At least one carbon sink, wood charcoal sequestrated in soil, remains poorly detailed. We estimate the wood charcoal-carbon content in soils located in dry valleys within the French Alps. Soils were sampled at five sites along altitudinal transects, from the conifer-dominated subalpine forests to the alpine grasslands. The five sites were distributed along a bioclimatic and biogeographic gradient from the southern Mediterranean to the northern continental Alps. The altitudinal distribution of charcoal exhibits the same pattern in the five sites, despite stand fire history, and regional bioclimatic and biogeographic differences. Charcoal concentrations are low (0.01 to 10 g(char) m(-2)) in soils from the current treeless belt. while soils at lower elevation show high concentrations (10 to 2000 g(char) m(-2)). The results suggest that the landscape structure determine the charcoal accumulation throughout variability of vegetation type and fire frequency. Charcoal concentrations recorded in the subalpine belt in the Alps are similar to those of Swedish boreal forests, but are 10 to 100 times lower than values from Mediterranean ecosystems. Dry to subhumid ecosystems contain subfossil carbon in the form of charcoal, which should be explicitly taken into account in the global carbon budget.</t>
  </si>
  <si>
    <t>Univ Aix Marseille 3, Inst Mediterraneen Ecol &amp; Paleoecol, CNRS, Fac Sci &amp; Tech, F-13397 Marseille 20, France; Univ Montreal, Dept Geog, Montreal, PQ H3C 3J7, Canada</t>
  </si>
  <si>
    <t>Centre National de la Recherche Scientifique (CNRS); Aix-Marseille Universite; Universite de Montreal</t>
  </si>
  <si>
    <t>Swedish Univ Agr Sci, Dept Forest Vegetat Ecol, S-90183 Umea, Sweden.</t>
  </si>
  <si>
    <t>Christopher.Carcaillet@svek.slu.se; brigitte.talon@botmed.u-3mrs.fr</t>
  </si>
  <si>
    <t>Talon, Brigitte/GZM-5128-2022; Carcaillet, Christopher/G-1218-2011</t>
  </si>
  <si>
    <t>Carcaillet, Christopher/0000-0002-6632-1507</t>
  </si>
  <si>
    <t>10.2307/1552235</t>
  </si>
  <si>
    <t>WOS:000170836200005</t>
  </si>
  <si>
    <t>Rautio, M</t>
  </si>
  <si>
    <t>Zooplankton assemblages related to environmental characteristics in treeline ponds in Finnish Lapland</t>
  </si>
  <si>
    <t>DISSOLVED ORGANIC-MATTER; SEASONAL SUCCESSION; PLANKTONIC EVENTS; PATTERNS; DAPHNIA; LAKES; ALGAE; SIZE; FOOD; TEMPERATURES</t>
  </si>
  <si>
    <t>Zooplankton communities of 17 subarctic ponds with differing catchment areas and habitat types in northern Finland were surveyed during the open water season from June to August. Ponds were located along a gradient that changes from a mountain birch woodland to a treeless tundra. In all sites, cladoceran abundance dominated that of copepods although there was a consistent pattern of increasing relative abundance of copepods toward the most barren ponds. Species richness declined with increasing altitude but diversity remained constant. Zooplankton communities within the same habitat type were similar. Temporal variation in species abundance showed a coherent temperature driven pattern along the whole altitudinal transect.</t>
  </si>
  <si>
    <t>Univ Helsinki, Dept Systemat &amp; Ecol, Div Hydrobiol, FIN-00014 Helsinki, Finland</t>
  </si>
  <si>
    <t>University of Helsinki</t>
  </si>
  <si>
    <t>Univ Helsinki, Dept Systemat &amp; Ecol, Div Hydrobiol, POB 17, FIN-00014 Helsinki, Finland.</t>
  </si>
  <si>
    <t>milla.rautio@helsinki.fi</t>
  </si>
  <si>
    <t>10.2307/1552236</t>
  </si>
  <si>
    <t>WOS:000170836200006</t>
  </si>
  <si>
    <t>Svensson, BM; Seel, WE; Nilsson, CH; Carlsson, BÅ</t>
  </si>
  <si>
    <t>Roles played by riming of seedling development and host identity in determining fitness of an annual, subarctic, hemiparasitic plant</t>
  </si>
  <si>
    <t>FACULTATIVE ROOT HEMIPARASITES; SHORT-LIVED PLANTS; OLAX-PHYLLANTHI OLACACEAE; RHINANTHUS-MINOR; CHALK GRASSLAND; MELAMPYRUM ARVENSE; USE-EFFICIENCY; GAS-EXCHANGE; GROWTH; DEMOGRAPHY</t>
  </si>
  <si>
    <t>Individually mapped plants of Euphrasia frigida, a hemiparasitic annual, were followed for one growing season at a subarctic site in northern Sweden. The strongest factor influencing seed-set was the date when the seedling stage ended, i.e., when plants produced their first noncotyledonous leaves, probably equalling date of attachment to a host. The advantage for early-developing plants was large even with just a 5-d difference in development. A positive effect was caused by presence of the perennial legume Astragalus alpinus, both on seedling development and plant performance, whereas the total cover of nonleguminous herbs or graminoids had no influence on the performance of E. frigida.</t>
  </si>
  <si>
    <t>Lund Univ, Dept Ecol, SE-22362 Lund, Sweden; Univ Aberdeen, Dept Plant &amp; Soil Sci, Aberdeen AB24 3UD, Scotland</t>
  </si>
  <si>
    <t>Lund University; University of Aberdeen</t>
  </si>
  <si>
    <t>Svensson, BM (corresponding author), Uppsala Univ, Dept Plant Ecol, Evolutionary Biol Ctr, Villavagen 14, SE-75236 Uppsala, Sweden.</t>
  </si>
  <si>
    <t>Carlsson, Bengt/HZL-0811-2023</t>
  </si>
  <si>
    <t>10.2307/1552237</t>
  </si>
  <si>
    <t>WOS:000170836200007</t>
  </si>
  <si>
    <t>Cockell, CS; Lee, P; Schuerger, AC; Hidalgo, L; Jones, JA; Stokes, MD</t>
  </si>
  <si>
    <t>Microbiology and vegetation of micro-oases and polar desert, Haughton impact crater, Devon Island, Nunavut, Canada</t>
  </si>
  <si>
    <t>PLANT-COMMUNITIES; ELLESMERE ISLAND; DIET SELECTION; NITROGEN; NWT; SUCCESSION; PHOTOSYNTHESIS; ASSOCIATION; TEMPERATURE; PATTERNS</t>
  </si>
  <si>
    <t>The input of nutrients into arctic polar deserts, aided by some physical processes, can result in localized areas of high biological productivity-micro-oases. We examined the vegetation cover, and microbial and nematode abundance in the polar desert and in 38 micro-oases at the Haughton impact crater, Devon Island, Arctic Canada. Our sites were split between the alluvial terraces along the banks of the Haughton River and the breccia deposits resulting from the asteroid or comet impact 22 Myr ago that flank the alluvial terraces. The alluvial terraces have a vegetation cover that ranges from 2 to 11% depending on substrate and water availability with a species richness of 5 in most locations. The vegetation cover on the breccia is much lower, between 0.02 and 3% depending on water availability. The micro-oases on both substrates support between 2 and 98% cover, but they are smaller and more sparsely distributed than similar features found in the Truelove Lowland, Devon Island, and on Bathurst Island. Microbial and nematode numbers were an order of magnitude greater inside the micro-oases compared to outside. Micro-oases are often dominated by a particular species, resulting in well-defined groups of micro-oases that were separated by TWINSPAN analysis. The micro-oases at Haughton Crater provide insights into the process of colonization of a substrate resulting from an asteroid or comet impact and the unique biological characteristics of such substrates.</t>
  </si>
  <si>
    <t>British Antarctic Survey, Cambridge CB3 0ET, England; NASA, Ames Res Ctr, SETI Inst, Moffett Field, CA 94035 USA; Dynamac Corp, Kennedy Space Ctr, FL 32899 USA; NASA, Lyndon B Johnson Space Ctr, Houston, TX 77058 USA; Univ Calif San Diego, Scripps Inst Oceanog, La Jolla, CA 92093 USA</t>
  </si>
  <si>
    <t>UK Research &amp; Innovation (UKRI); Natural Environment Research Council (NERC); NERC British Antarctic Survey; National Aeronautics &amp; Space Administration (NASA); NASA Ames Research Center; Consolidated Safety Services, Inc. (CSS); National Aeronautics &amp; Space Administration (NASA); Kennedy Space Center; National Aeronautics &amp; Space Administration (NASA); NASA Johnson Space Center; University of California System; University of California San Diego; Scripps Institution of Oceanography</t>
  </si>
  <si>
    <t>Cockell, CS (corresponding author), British Antarctic Survey, High Cross,Madingley Rd, Cambridge CB3 0ET, England.</t>
  </si>
  <si>
    <t>10.2307/1552238</t>
  </si>
  <si>
    <t>WOS:000170836200008</t>
  </si>
  <si>
    <t>Sturm, M; Liston, GE; Benson, CS; Holmgren, J</t>
  </si>
  <si>
    <t>Characteristics and growth of a snowdrift in arctic Alaska, USA</t>
  </si>
  <si>
    <t>COMPLEX TERRAIN; SNOW; TRANSPORT; MODEL</t>
  </si>
  <si>
    <t>In arctic Alaska, 15% of the total winter snowpack is contained in large drifts. Stratigraphic sections reveal that these can form during as few as five weather events during winter, while comparison of stratigraphy and weather records show that significant deposition (up to 43% of the total drift volume) can occur during a single event of short duration (&lt; 72 h). Based on three years of wind, snowfall, and snow transport records, a set of rules was developed for predicting when periods of drift growth would occur. The rules were: 10-m wind speed &gt;5.3 m s(-1) for at least 3 It, wind direction within 30 degrees of the normal to drift trap axis, and recent snowfall available for transport. When used, these rules successfully identified all drift-growth events, plus a few extra events that did not contribute substantially to drift growth. The extra events were invariably periods when there was sufficient wind to move snow, but insufficient snow for transport. In arctic Alaska drift size currently appears to be limited by precipitation rather than wind, leading us to speculate that an increase in precipitation could increase drift size and intensify the ecological, hydrological, and climatic impact of drifts on this arctic system.</t>
  </si>
  <si>
    <t>USA, Cold Reg Res &amp; Engn Lab, Ft Wainwright, AK 99703 USA; Colorado State Univ, Dept Atmospher Sci, Ft Collins, CO 80523 USA; Univ Alaska, Inst Geophys, Fairbanks, AK 99775 USA</t>
  </si>
  <si>
    <t>United States Department of Defense; United States Army; U.S. Army Corps of Engineers; U.S. Army Engineer Research &amp; Development Center (ERDC); Cold Regions Research &amp; Engineering Laboratory (CRREL); Colorado State University; University of Alaska System; University of Alaska Fairbanks</t>
  </si>
  <si>
    <t>Sturm, M (corresponding author), USA, Cold Reg Res &amp; Engn Lab, Ft Wainwright, AK 99703 USA.</t>
  </si>
  <si>
    <t>Sturm, Matthew/GXF-6926-2022</t>
  </si>
  <si>
    <t>10.2307/1552239</t>
  </si>
  <si>
    <t>WOS:000170836200009</t>
  </si>
  <si>
    <t>Onipchenko, VG; Blinnikov, MS; Aksenova, AA</t>
  </si>
  <si>
    <t>Experimental evaluation of shading effects in seasonal dynamics of four alpine communities in northwestern Caucasus, Russia</t>
  </si>
  <si>
    <t>PLANT-COMMUNITIES; GRASSLAND; TUNDRA; VEGETATION; RESPONSES; NUTRIENTS; RICHNESS; COLORADO; CLIMATE; GROWTH</t>
  </si>
  <si>
    <t>Light plays a significant role in determining composition of alpine communities. A series of 3-yr experiments to assess four alpine communities' responses to a severe reduction in insolation regime (95% reduction for the whole, first, or second half of the growing season) were carried out on Mount Malaya Khatipara, Karachaevo-Cherkessia Republic, northwestern Caucasus, Russia. The snowbed community developing under the deepest snow had the highest proportion of shade-tolerant species among the four communities. In contrast, the alpine lichen heath developing under little, or no snow accumulation was the most susceptible to shading. The heath lost over 70% of species after 3 yr of the all-season shading. The intermediate grassland and meadow lost ca. 50%, while the snowbed lost only 18%. Members of Cyperaceae, family and evergreens Vaccinium vitis-idaea and Gentiana pyrenaica were the most shade-tolerant species, while most other species showed little tolerance of shading, particularly when shaded for the whole growing season. Two ephemeroid species increased their shoot numbers when shaded during the second half of the growing season. Generative shoots of all species showed greater relative decrease than the vegetative shoots of the same species. Snowbed species showed the most varied response. This is consistent with earlier findings of opportunistic character of snowbed flora. The snowbed species will be most adaptable to any possible future shifts in vegetation composition under climate change.</t>
  </si>
  <si>
    <t>Moscow MV Lomonosov State Univ, Fac Biol, Dept Geobot, Moscow 119899, Russia; St Cloud State Univ, Dept Geog, St Cloud, MN 56301 USA</t>
  </si>
  <si>
    <t>Lomonosov Moscow State University; Minnesota State Colleges &amp; Universities; Saint Cloud State University</t>
  </si>
  <si>
    <t>Onipchenko, VG (corresponding author), Moscow MV Lomonosov State Univ, Fac Biol, Dept Geobot, Moscow 119899, Russia.</t>
  </si>
  <si>
    <t>vonipchenko@vonipchenko.home.bio.msu.edu; mblinnikov@stcloudstate.edu</t>
  </si>
  <si>
    <t>Blinnikov, Mikhail/S-1705-2019; Onipchenko, Vladimir G./V-4244-2018</t>
  </si>
  <si>
    <t>Blinnikov, Mikhail/0000-0003-1069-6307; Onipchenko, Vladimir/0000-0002-4930-3112</t>
  </si>
  <si>
    <t>10.2307/1552240</t>
  </si>
  <si>
    <t>WOS:000170836200010</t>
  </si>
  <si>
    <t>Conlin, DB; Ebersole, JJ</t>
  </si>
  <si>
    <t>Restoration of an alpine disturbance: Differential success of species in turf transplants, Colorado, USA</t>
  </si>
  <si>
    <t>WATER RELATIONS; COMMUNITIES</t>
  </si>
  <si>
    <t>Evaluating techniques for restoring alpine environments is important due to increasing human impacts on Colorado mountains. We studied restoration success after I yr on an alpine area disturbed by trampling at 3700 m a.s.l., Humboldt Peak. Sangre de Cristo Mountains, Colorado. This area was revegetated in summer 1997 by transplanting pieces of turf cut from a new trail. For both transplants and controls, 100 points were sampled in seventeen 70 X 70 cm plots. Vascular plant species richness did not differ between transplant and control plots. Thirty-one species showed absolute covers not significantly different between transplant and control plots, and twelve species had higher covers in control plots or showed a strong trend in that direction. Sums of covers of all species declined by 35% in transplant plots. Transplant and control plots had differential relative success of some important species as measured by relative cover although almost all differences were small. Grasses increased moderately and forbs declined by 9%. Relative cover of the dominant. Geum rossii, as well as two common graminoids, Carex phaeocephala and Trisetum spicatum, decreased in transplant plots. The forbs Polygonum bistortoides and Potentilla subjuga increased in relative cover in transplant plots, one of the dominant species. Carex elynoides, and many secondary species, were not different between treatments. Success in total cover and of almost all species after I yr indicates turf-transplants work well in this community and should be employed to restore other damaged alpine areas when feasible.</t>
  </si>
  <si>
    <t>Colorado Coll, Dept Biol, Colorado Springs, CO 80903 USA</t>
  </si>
  <si>
    <t>Colorado College</t>
  </si>
  <si>
    <t>Ebersole, JJ (corresponding author), Colorado Coll, Dept Biol, 14 E Cache Poudre St, Colorado Springs, CO 80903 USA.</t>
  </si>
  <si>
    <t>10.2307/1552241</t>
  </si>
  <si>
    <t>WOS:000170836200011</t>
  </si>
  <si>
    <t>Bridle, KL; Kirkpatrick, JB; Cullen, P; Shepherd, RR</t>
  </si>
  <si>
    <t>Recovery in alpine heath and grassland following burning and grazing, Eastern Central Plateau, Tasmania, Australia</t>
  </si>
  <si>
    <t>BOGONG HIGH-PLAINS; RANGE TRANSECTS; VEGETATION; KOSCIUSKO; TRENDS; COMMUNITIES; DYNAMICS; RABBIT; CATTLE</t>
  </si>
  <si>
    <t>Long-term data from six sites in treeless subalpine and alpine vegetation in central Tasmania are used to document change in vegetation cover and life form dominance over time. All sites have been disturbed by burning and domestic stock grazing in the past. Although burning ceased at least 8 yr before initial measurements were taken. stock grazing still occurs at one site, and rabbits and native vertebrate herbivores (mainly wallabies) graze throughout the region. Vegetation cover increased across all sites over a 5- to 23-yr period at an average annual increment of approximately 1%. There was no significant relationship between the initial cover of bare ground and change in bare ground over time for most of the sites. Annual increases in vegetation cover were least in locations grazed by rabbits and native vertebrate herbivores and where domestic stock still grazed. Exclosures grazed only by rabbits had an intermediate rate of increase. Vegetation cover was found to increase most in ungrazed exclosures. The rates of increase in vegetation cover suggest that, in the absence of fire, it is a matter of decades before cover will be almost complete in the area.</t>
  </si>
  <si>
    <t>Univ Tasmania, Sch Geog &amp; Environm Studies, Hobart, Tas 7001, Australia; Dept Primary Ind Water Resources &amp; Environm, Hobart, Tas 7001, Australia</t>
  </si>
  <si>
    <t>Bridle, KL (corresponding author), Univ Tasmania, Sch Geog &amp; Environm Studies, GPO Box 252-78, Hobart, Tas 7001, Australia.</t>
  </si>
  <si>
    <t>Kerry.Bridle@utas.edu.au</t>
  </si>
  <si>
    <t>Kirkpatrick, James/0000-0003-2763-2692</t>
  </si>
  <si>
    <t>10.2307/1552242</t>
  </si>
  <si>
    <t>WOS:000170836200012</t>
  </si>
  <si>
    <t>Wahren, CHA; Williams, RJ; Papst, WA</t>
  </si>
  <si>
    <t>Vegetation change and ecological processes in alpine and subalpine Sphagnum bogs of the Bogong High Plains, Victoria, Australia</t>
  </si>
  <si>
    <t>RANGE TRANSECTS; GROWTH; REGENERATION; KOSCIUSKO; TRENDS; ENVIRONMENT; CUSPIDATUM; HEATHLAND; POOL</t>
  </si>
  <si>
    <t>Sphagnum bogs that were monitored over a 15-yr period showed significant changes in the abundance of diagnostic species. At plots ungrazed by cattle, the major bog species Sphagnum cristatum, Caltha introloba, and Carex gaudichaudiana increased significantly in cover. No such increases occurred in grazed plots. There were few changes in cover of the main structural vegetation types-closed heathland, low open heathland, and open herbfield on stony pavements. Sphagnum and the main herbfield species, Oreobolus pumilio and Caltha introloba, were dislodged and shifted over unvegetated stony pavements by snowmelt runoff, snowpack movement, and cattle trampling. Experiments using Sphagnum transplants showed this species capable of colonizing pavements by establishing on other plants. Survival and growth of transplants were significantly greater on low compared with high water flow (high energy) sites. Grazing and trampling by cattle significantly reduced survival of transplants. thus disrupting the colonization of pavements; firstly, by directly reducing the survival and growth of Sphagnum and other colonists; and secondly, by preventing the formation of barriers to water flow that would facilitate colonization. We propose a successional dynamic based on some of the processes operating in the open herbfield and stony pavements of Sphagnum bogs.</t>
  </si>
  <si>
    <t>La Trobe Univ, Dept Agr Sci, Bundoora, Vic 3086, Australia; CSIRO, Winnellie, NT 0822, Australia</t>
  </si>
  <si>
    <t>La Trobe University; Commonwealth Scientific &amp; Industrial Research Organisation (CSIRO)</t>
  </si>
  <si>
    <t>Univ Alaska Fairbanks, Boreal Ecol Cooperat Res Unit, POB 756780, Fairbanks, AK 99775 USA.</t>
  </si>
  <si>
    <t>fnhaw@uaf.edu</t>
  </si>
  <si>
    <t>Williams, Richard J/F-8362-2010</t>
  </si>
  <si>
    <t>10.2307/1552243</t>
  </si>
  <si>
    <t>WOS:000170836200013</t>
  </si>
  <si>
    <t>Wearne, LJ; Morgan, JW</t>
  </si>
  <si>
    <t>Recent forest encroachment into subalpine grasslands near Mount Hotham, Victoria, Australia</t>
  </si>
  <si>
    <t>SUB-ALPINE MEADOWS; NATIONAL-PARK; TREE ESTABLISHMENT; SEEDLING ESTABLISHMENT; SOUTHEASTERN AUSTRALIA; EUCALYPTUS-PAUCIFLORA; USA; INVASION; CLIMATE; RANGE</t>
  </si>
  <si>
    <t>Establishment of forest trees into subalpine grasslands near Mt. Hotham, southeast Australia, was quantified in 1998 across long-established forest-grassland boundaries in belt transects at four sites. Although the grasslands varied in their dominant species and groundlayer biomass, tree encroachment (principally by Eucalyptus pauciflora) occurred at all sites. Tree encroachment is a recent and synchronous event; all invading saplings were less than or equal to 31-yr-old and the majority (54%) established between 1991 and 1995. Most sapling establishment (66%) occurred within 5 m of the forest-grass land boundary where the number of plants present was positively associated with the amount of overhanging tree cover at three of the four sites. No correlation between encroachment and groundcover type or biomass, however. was found at any site. Some of the recently established plants are now small trees (1-8 m in height) and have become reproductive, indicating that establishment in grasslands is successful, making ecotone shifts possible. Any changes in boundary position, however, will be slow given the limited distance that trees established from the forest edge. Tree encroachment near Mt. Hotham is likely the outcome of small-scale (e.g., regeneration microsite) and landscape-scale (e.g., climate, grazing) processes that require further clarification.</t>
  </si>
  <si>
    <t>La Trobe Univ, Dept Bot, Bundoora, Vic 3086, Australia</t>
  </si>
  <si>
    <t>La Trobe University</t>
  </si>
  <si>
    <t>Wearne, LJ (corresponding author), La Trobe Univ, Dept Bot, Bundoora, Vic 3086, Australia.</t>
  </si>
  <si>
    <t>10.2307/1552244</t>
  </si>
  <si>
    <t>WOS:000170836200014</t>
  </si>
  <si>
    <t>Trombotto, D; Brown, J</t>
  </si>
  <si>
    <t>Arturo Eduardo Corte - 1919-2001 - In memoriam</t>
  </si>
  <si>
    <t>Biographical-Item</t>
  </si>
  <si>
    <t>10.1080/15230430.2001.12003442</t>
  </si>
  <si>
    <t>WOS:000170836200015</t>
  </si>
  <si>
    <t>Hergt, JM; Brauns, CM</t>
  </si>
  <si>
    <t>On the origin of Tasmanian dolerites</t>
  </si>
  <si>
    <t>dolerites; Ferrar Province; flood basalt; rhenium-osmium isotopes; Tasmania</t>
  </si>
  <si>
    <t>CONTINENTAL FLOOD BASALTS; NORTH VICTORIA LAND; KIRKPATRICK BASALT; JURASSIC DOLERITES; TRACE-ELEMENT; OS ISOTOPES; ANTARCTICA; MANTLE; CONSTRAINTS; GEOCHRONOLOGY</t>
  </si>
  <si>
    <t>The Tasmanian dolerites, part of the Ferrar Province of Australia and Antarctica, have some trace-element and isotopic compositions that suggest continental contamination of mantle-derived magmas. The debate has centred on whether the contamination occurred during intrusion into the crust, or if the mantle source itself was contaminated. The behaviour of Sr and O isotopes suggests that the mantle source had a delta O-18 composition of +6 parts per thousand and an initial Sr-87/Sr-86 ratio of 0.709, which supports the latter contention. Recently published Re-Os data likewise dismiss upper crustal contamination: Re-Os isotopic compositions of magnetite-rich mineral separates from seven Tasmanian dolerites yield an isochron that gives the same age, within uncertainties, as other dating techniques, namely 175 +/- 5 Ma. Moreover, Re-Os data from a study of Antarctic Ferrar Province samples lie on the same isochron and the data together give an age of 177.3 +/- 3.5 Ma. The initial Os-187/Os-188 of 0.125 +/- 0.033 is the calculated mantle composition at the time. These results support previous models that attribute chemical features of the Ferrar magmas to re-enrichment of a depleted mantle source region rather than processes involving assimilation of crust by basaltic magma.</t>
  </si>
  <si>
    <t>Univ Melbourne, Sch Earth Sci, Melbourne, Vic 3010, Australia</t>
  </si>
  <si>
    <t>University of Melbourne; Melbourne Bioinformatics</t>
  </si>
  <si>
    <t>Hergt, JM (corresponding author), Univ Melbourne, Sch Earth Sci, Melbourne, Vic 3010, Australia.</t>
  </si>
  <si>
    <t>Hergt, Janet/0000-0003-3410-1670</t>
  </si>
  <si>
    <t>BLACKWELL SCIENCE ASIA</t>
  </si>
  <si>
    <t>10.1046/j.1440-0952.2001.00875.x</t>
  </si>
  <si>
    <t>462JC</t>
  </si>
  <si>
    <t>WOS:000170416100006</t>
  </si>
  <si>
    <t>Sorensen, TF; Ramlov, H</t>
  </si>
  <si>
    <t>Variations in antifreeze activity and serum inorganic ions in the eelpout Zoarces viviparus:: antifreeze activity in the embryonic state</t>
  </si>
  <si>
    <t>COMPARATIVE BIOCHEMISTRY AND PHYSIOLOGY A-MOLECULAR AND INTEGRATIVE PHYSIOLOGY</t>
  </si>
  <si>
    <t>antifreeze activity; antifreeze protein; eelpout; embryo; ice fraction curve; inorganic ions; Zoarces viviparus; Zoarcidae</t>
  </si>
  <si>
    <t>MYOXOCEPHALUS-OCTODECIMSPINOSIS; MACROZOARCES-AMERICANUS; LONGHORN SCULPIN; ANTARCTIC FISHES; FREEZING-POINT; TELEOST FISHES; OCEAN POUT; PROTEINS; PEPTIDES; ICE</t>
  </si>
  <si>
    <t>The eelpout Zoarces viviparus is a common inhabitant in the shallow waters along the Danish coastline. Specimens were caught in the brackish (12-16 parts per thousand) Roskilde fjord where water temperatures range from &gt; 20 degreesC during summer to subzero in winter. The serum melting points found in Z. viviparus varied between -0.76 (September) to -0.94 degreesC (January). Eighty to 97% of the serum melting points could be attributed to sodium, chloride and potassium. Hysteresis freezing points showed seasonal variation varying from -0.83 (September) to -2.08 degreesC (February). Serum antifreeze activity showed a seasonal variation with high levels (&gt; 1.2 degreesC) in winter and low levels (&lt; 0.1 degreesC) during summer and autumn. Antifreeze proteins are responsible for this antifreeze activity. Antifreeze activity was also found in Z. viviparus during their embryological development in the female ovary. Embryo thermal hysteresis reached the maximum level (approx. 0.6 degreesC) during December and maintained this level until parturition in January. Antifreeze activity seems unaffected by diminishing ice crystal fractions at ice fractions below 0.1 whereas ice fractions above 0.1 caused a decline in antifreeze activity. (C) 2001 Elsevier Science Inc. All rights reserved.</t>
  </si>
  <si>
    <t>Roskilde Univ Ctr, Dept Chem &amp; Life Sci, DK-4000 Roskilde, Denmark</t>
  </si>
  <si>
    <t>Roskilde University</t>
  </si>
  <si>
    <t>Ramlov, H (corresponding author), Roskilde Univ Ctr, Dept Chem &amp; Life Sci, DK-4000 Roskilde, Denmark.</t>
  </si>
  <si>
    <t>Ramlov, Hans/0000-0003-1113-0583</t>
  </si>
  <si>
    <t>ELSEVIER SCIENCE INC</t>
  </si>
  <si>
    <t>655 AVENUE OF THE AMERICAS, NEW YORK, NY 10010 USA</t>
  </si>
  <si>
    <t>1095-6433</t>
  </si>
  <si>
    <t>COMP BIOCHEM PHYS A</t>
  </si>
  <si>
    <t>Comp. Biochem. Physiol. A-Mol. Integr. Physiol.</t>
  </si>
  <si>
    <t>10.1016/S1095-6433(01)00372-5</t>
  </si>
  <si>
    <t>Biochemistry &amp; Molecular Biology; Physiology; Zoology</t>
  </si>
  <si>
    <t>463JC</t>
  </si>
  <si>
    <t>WOS:000170472500011</t>
  </si>
  <si>
    <t>Raymond, JA; Fritsen, CH</t>
  </si>
  <si>
    <t>Semipurification and ice recrystallization inhibition activity of ice-active substances associated with Antarctic photosynthetic organisms</t>
  </si>
  <si>
    <t>CRYOBIOLOGY</t>
  </si>
  <si>
    <t>ice-active substances; glycoprotein; Antarctica; cyanobacteria; Prasiola; moss; Bryum; recrystallization inhibition</t>
  </si>
  <si>
    <t>ANTIFREEZE PROTEIN; FREEZING TOLERANCE; PLANT; DIATOMS; GENES</t>
  </si>
  <si>
    <t>Ice-active substances (IASs), i.e., macromolecular substances that modify the shape of growing ice crystals, were previously found to be associated with various terrestrial and aquatic photosynthetic organisms from Antarctica, but their chemical nature and function are unknown. In this study, we used the ice-binding properties of the IASs to semipurify IASs from a cyanobacterial mat, a eukaryotic green alga (Prasiola sp.), and a moss (Bryum sp.) and examined the ice recrystallization inhibition (RI) activities of the semipure materials. The semipure materials contain both protein and carbohydrate in which the carbohydrate accounted for 73, 52, and 37%, respectively, of the total carbohydrate + protein. The IASs had RI activity at concentrations of 1.4. 0.05, and 0.01 mug ml(-1), respectively. RI activity was greatly reduced by heat treatment, suggesting that the IASs inhibit recrystallization through a specific interaction with ice. These results raise the possibility that the IASs increase freezing tolerance of their respective organisms by preventing the recrystallization of ice. (C) 2001 Elsevier Science.</t>
  </si>
  <si>
    <t>Univ Nevada, Dept Biol Sci, Las Vegas, NV 89154 USA; Desert Res Inst, Div Earth &amp; Ecosyst Sci, Reno, NV 89512 USA</t>
  </si>
  <si>
    <t>Nevada System of Higher Education (NSHE); University of Nevada Las Vegas; Nevada System of Higher Education (NSHE); Desert Research Institute NSHE</t>
  </si>
  <si>
    <t>Univ Nevada, Dept Biol Sci, Las Vegas, NV 89154 USA.</t>
  </si>
  <si>
    <t>raymond@unlv.edu</t>
  </si>
  <si>
    <t>0011-2240</t>
  </si>
  <si>
    <t>1090-2392</t>
  </si>
  <si>
    <t>Cryobiology</t>
  </si>
  <si>
    <t>10.1006/cryo.2001.2341</t>
  </si>
  <si>
    <t>Biology; Physiology</t>
  </si>
  <si>
    <t>Life Sciences &amp; Biomedicine - Other Topics; Physiology</t>
  </si>
  <si>
    <t>521HF</t>
  </si>
  <si>
    <t>WOS:000173834000008</t>
  </si>
  <si>
    <t>Nilsson, J</t>
  </si>
  <si>
    <t>Spatial reorganization of SST anomalies by stationary atmospheric waves</t>
  </si>
  <si>
    <t>SST anomalies; stationary atmospheric waves; air-sea heat transfer; coupled ocean-atmosphere dynamics</t>
  </si>
  <si>
    <t>ANTARCTIC CIRCUMPOLAR WAVE; AIR-SEA FEEDBACK; NORTH-ATLANTIC; OCEAN; VARIABILITY; TEMPERATURE; BENEATH; MODES</t>
  </si>
  <si>
    <t>The dynamics of sea surface temperature (SST) anomalies that force stationary atmospheric waves, which in turn, feed back on the SST held is addressed. The phenomena is isolated by analyzing the dynamics of a slab ocean that is thermally coupled to an atmospheric model. Particular emphasis is put on identifying SST structures that are weakly damped by the joint effect of air-sea heat transfer and atmospheric wave dynamics. A frame work is presented that singles out long-lived SST features in a slab ocean coupled to an arbitrary linear atmospheric model. It is demonstrated that an SST anomaly eventually disintegrates into a number of propagating wave packets. The wave packets are confined in a Gaussian envelope, and each packet is tied to a stationary wave of a particular wavelength. These structures are a manifestation of coupled SST-atmosphere mode, for which the atmosphere and the ocean nearly are in thermal equilibrium. However, a small disequilibrium causes the wave packet to propagate and to broaden in an apparent diffusive manner. Central ideas pertaining to the mid-latitude SST dynamics are illustrated by analyzing the thermal feedback between a two-level atmospheric model (on a beta -plane) and a dynamically passive slab ocean. The relevance of the present idealized coupled-modes to the SST variability in the mid-latitudes and in atmospheric GCMs coupled to slab oceans is discussed. (C) 2001 Elsevier Science B.V. All rights reserved.</t>
  </si>
  <si>
    <t>Univ Stockholm, Dept Meteorol, S-10691 Stockholm, Sweden</t>
  </si>
  <si>
    <t>Nilsson, J (corresponding author), Univ Stockholm, Dept Meteorol, S-10691 Stockholm, Sweden.</t>
  </si>
  <si>
    <t>Nilsson, Johan/0000-0002-9591-124X</t>
  </si>
  <si>
    <t>10.1016/S0377-0265(01)00057-4</t>
  </si>
  <si>
    <t>451QV</t>
  </si>
  <si>
    <t>WOS:000169813500001</t>
  </si>
  <si>
    <t>Gabriel, AGA; Chown, SL; Barendse, J; Marshall, DJ; Mercer, RD; Pugh, PJA; Smith, VR</t>
  </si>
  <si>
    <t>Biological invasions of Southern Ocean islands: the Collembola of Marion Island as a test of generalities</t>
  </si>
  <si>
    <t>ECOGRAPHY</t>
  </si>
  <si>
    <t>MOSS-TURF HABITAT; ARTHROPOD COMMUNITIES; GLOBAL PATTERNS; CLIMATIC-CHANGE; PLANT INVADERS; CONSEQUENCES; COLEOPTERA; ABUNDANCE; IMPACTS; ECOLOGY</t>
  </si>
  <si>
    <t>It has been suggested previously that the presence and abundance of indigenous species have a marked influence on the likelihood of invasion of a community. It has also been suggested that such biotic resistance has a negligible influence on the outcome of an invasion, but that the abiotic characteristics of the environment being invaded are more important. The latter has been claimed to be especially important on the islands of the Southern Ocean. In order to test these competing hypotheses we examined the distribution and abundance of indigenous and introduced springtails across 13 habitats, which differ considerably in the properties of their soils, and soil temperature, on the eastern quarter of sub-Antarctic Marion Island. There was no evidence of negative abundance covariation or species associations within habitats, nor were there significant relationships between species richness or abundance of the indigenous as opposed to the introduced collembolans across habitats. Interspecific interactions thus seem to have played no readily identifiable role in the outcome of invasions by Collembola on Marion Island. In contrast, the indigenous and introduced species responded very differently to abiotic variables. The indigenous Collembola prefer drier, more mineral soils with a low organic carbon content, and species richness tends to be highest in cold, fellfield areas. On the other hand, the introduced springtails prefer moist, warm sites, with organically enriched soils. Introduced species richness was negligible in cold, fellfield areas. Disturbance also appeared to influence positively the species richness and abundance of introduced species at a site. These results provide independent support for the idea that abiotic factors, especially temperature, significantly influence the likelihood of biological invasions on Southern Ocean islands. They also suggest that predicting the outcome of climate change on community structure in this region is likely to be problematic, especially in the case of the Collembola.</t>
  </si>
  <si>
    <t>Univ Pretoria, Dept Zool &amp; Entomol, ZA-0002 Pretoria, South Africa; Univ KwaZulu Natal, Sch Environm Sci, ZA-4000 Durban, South Africa; British Antarctic Survey, Cambridge CB3 0ET, England; Univ Stellenbosch, Dept Bot, ZA-7601 Matieland, South Africa</t>
  </si>
  <si>
    <t>University of Pretoria; University of Kwazulu Natal; UK Research &amp; Innovation (UKRI); Natural Environment Research Council (NERC); NERC British Antarctic Survey; Stellenbosch University</t>
  </si>
  <si>
    <t>slchown@zoology.up.ac.za</t>
  </si>
  <si>
    <t>Chown, Steven/ABD-7646-2021; Chown, Steven L/H-3347-2011; Barendse, Jaco/F-7064-2012</t>
  </si>
  <si>
    <t>Barendse, Jaco/0000-0003-2859-4501; Marshall, David/0000-0003-3771-5950</t>
  </si>
  <si>
    <t>0906-7590</t>
  </si>
  <si>
    <t>1600-0587</t>
  </si>
  <si>
    <t>Ecography</t>
  </si>
  <si>
    <t>10.1034/j.1600-0587.2001.d01-198.x</t>
  </si>
  <si>
    <t>485KJ</t>
  </si>
  <si>
    <t>WOS:000171753300006</t>
  </si>
  <si>
    <t>Marín, VH; Delgado, LE</t>
  </si>
  <si>
    <t>A spatially explicit model of the Antarctic krill fishery off the south shetland islands</t>
  </si>
  <si>
    <t>ECOLOGICAL APPLICATIONS</t>
  </si>
  <si>
    <t>Antarctic krill; ecosystem management; Euphausia superba; GIS and spatial automata; penguins; seals; South Shetland Islands</t>
  </si>
  <si>
    <t>ECOSYSTEM MANAGEMENT; CELLULAR-AUTOMATA; FOOD-WEB; SEA</t>
  </si>
  <si>
    <t>We show the development of a spatially explicit ecosystem model for the Euphausia superba fishery in the South Shetland Islands area (Antarctic Peninsula). We generated a virtual ecosystem, using a spatial automaton-geographic information system technique, to study management scenarios. We used literature data to generate the advection field, the initial krill biomass, and the distribution and size of penguin colonies in the area. Parameters for the fishing fleet were extracted from analysis of Chilean krill-fishing vessels. The model assumes that krill are passive current drifters and that penguin foraging occurs in areas close to their colonies. We analyzed the effect that a simulated 20-vessel fishing fleet would have on the availability of prey, considering the krill flux due to advection. The results show that it would be reasonable to manage the krill fishery in the South Shetland Islands as an interconnected set of ecotrophic modules, allocating the fleet downstream from the main penguin foraging sector.</t>
  </si>
  <si>
    <t>Univ Chile, Fac Ciencias, Dept Ciencias Ecol, Lab Modelac Ecol, Santiago, Chile</t>
  </si>
  <si>
    <t>Universidad de Chile</t>
  </si>
  <si>
    <t>Marín, VH (corresponding author), Univ Chile, Fac Ciencias, Dept Ciencias Ecol, Lab Modelac Ecol, Casilla 653, Santiago, Chile.</t>
  </si>
  <si>
    <t>Delgado, Luisa ELizabeth/0000-0002-8364-9993; Marin, Victor/0000-0003-2491-6825</t>
  </si>
  <si>
    <t>ECOLOGICAL SOC AMER</t>
  </si>
  <si>
    <t>1707 H ST NW, STE 400, WASHINGTON, DC 20006-3915 USA</t>
  </si>
  <si>
    <t>1051-0761</t>
  </si>
  <si>
    <t>ECOL APPL</t>
  </si>
  <si>
    <t>Ecol. Appl.</t>
  </si>
  <si>
    <t>10.2307/3061024</t>
  </si>
  <si>
    <t>Ecology; Environmental Sciences</t>
  </si>
  <si>
    <t>458RW</t>
  </si>
  <si>
    <t>WOS:000170209200022</t>
  </si>
  <si>
    <t>Lovvorn, JR; Baduini, CL; Hunt, GL</t>
  </si>
  <si>
    <t>Modeling underwater visual and filter feeding by planktivorous shearwaters in unusual sea conditions</t>
  </si>
  <si>
    <t>ECOLOGY</t>
  </si>
  <si>
    <t>coccolithophore blooms; diving birds; euphausiids; filter-feeding; foraging models; krill; light attenuation; planktivores; Puffinus tenuirostris; Short-tailed Shearwater; underwater vision; visual foraging</t>
  </si>
  <si>
    <t>SHORT-TAILED SHEARWATERS; THYSANOESSA-INERMIS KROYER; HERRING CLUPEA-HARENGUS; OPTICAL-PROPERTIES; SOOTY SHEARWATERS; EUPHAUSIA-SUPERBA; ANTARCTIC KRILL; BERING SEA; MEGANYCTIPHANES-NORVEGICA; COCCOLITHOPHORE BLOOM</t>
  </si>
  <si>
    <t>Short-tailed Shearwaters (Puffinus tenuirostris) migrate between breeding areas in Australia and wintering areas in the Bering Sea. These extreme movements allow them to feed on swarms of euphausiids (krill) that occur seasonally in different regions, but they occasionally experience die-offs when availability of euphausiids or other prey is inadequate. During a coccolithophore bloom in the Bering Sea in 1997, hundreds of thousands of Short-tailed Shearwaters starved to death. One proposed explanation was that the calcareous shells of phytoplanktonic coccolithophores reduced light transmission, thus impairing visual foraging underwater. This hypothesis assumes that shearwaters feed entirely by vision (bite-feeding), but their unique bill and tongue morphology might allow nonvisual filter-feeding within euphausiid swarms. To investigate these issues. we developed simulation models of Short-tailed Shearwaters bite-feeding and filter-feeding underwater on the euphausiid Thysanoessa raschii. The visual (bite-feeding) model considered profiles of diffuse and beam attenuation of light in the Bering Sea among seasons. sites, and years with varying influence by diatom and coccolithophore blooms. The visual model indicated that over the huge range of densities in euphausiid swarms (tens to tens of thousands per cubic meter), neither light level nor prey density had appreciable effects on intake rate; instead, intake was severely limited by capture time and capture probability after prey were detected. Thus, for shearwaters there are strong advantages of feeding on dense swarms near the surface. where dive costs are low relative to fixed intake rate, and intake might be increased by filter-feeding. With minimal effects of light conditions, starvation of shearwaters during the coccolithophore bloom probably did not result from reduced visibility underwater after prey patches were found. Alternatively, turbidity from coccolithophores might have hindered detection of euphausiid swarms from the air.</t>
  </si>
  <si>
    <t>Univ Wyoming, Dept Zool, Laramie, WY 82071 USA; Univ Calif Irvine, Dept Ecol &amp; Evolutionary Biol, Irvine, CA 92697 USA</t>
  </si>
  <si>
    <t>University of Wyoming; University of California System; University of California Irvine</t>
  </si>
  <si>
    <t>Lovvorn, JR (corresponding author), Univ Wyoming, Dept Zool, Laramie, WY 82071 USA.</t>
  </si>
  <si>
    <t>Hunt, George/V-9423-2019</t>
  </si>
  <si>
    <t>Hunt, George/0000-0001-8709-2697</t>
  </si>
  <si>
    <t>0012-9658</t>
  </si>
  <si>
    <t>Ecology</t>
  </si>
  <si>
    <t>10.1890/0012-9658(2001)082[2342:MUVAFF]2.0.CO;2</t>
  </si>
  <si>
    <t>462ZP</t>
  </si>
  <si>
    <t>Green Published, Green Submitted</t>
  </si>
  <si>
    <t>WOS:000170452600019</t>
  </si>
  <si>
    <t>Oikawa, T; Yamanaka, K; Kazuoka, T; Kanzawa, N; Soda, K</t>
  </si>
  <si>
    <t>Psychrophilic valine dehydrogenase of the antarctic psychrophile, Cytophaga sp KUC-1 -: Purification, molecular characterization and expression</t>
  </si>
  <si>
    <t>valine dehydrogenase; Cytophaga; psychrophile; primary structure</t>
  </si>
  <si>
    <t>LEUCINE DEHYDROGENASE; SUBSTRATE-SPECIFICITY; QUATERNARY STRUCTURE; BACILLUS-SPHAERICUS; BACTERIA; CLONING; GENE; SEQUENCE; MECHANISM; ENZYMES</t>
  </si>
  <si>
    <t>We found the occurrence of valine dehydrogenase in the cell extract of a psychrophilic bacterium, Cytophaga sp. KUC-1, isolated from Antarctic seawater and purified the enzyme to homogeneity. The molecular mass of the enzyme was determined to be approximate to 154 kDa by gel filtration and that of the subunit was 43 kDa by SDS/PAGE: the enzyme was a homotetramer. The enzyme required NAD(+) as a coenzyme, and catalyzed the oxidative deamination of L-valine, L-isoleucine, L-leucine and the reductive amination of alpha -ketoisovalerate, alpha -ketovalerate, alpha -ketoisocaproate, and alpha -ketocaproate. The reaction proceeds through an iso-ordered bi-bi mechanism. The enzyme was highly susceptible to heat treatment and the half-life at 45 degreesC was estimated to be 2.4 min. The k(cat)/K-m (mu mu (-1).s(-1)) values for L-valine and NAD(+) at 20 degreesC were 27.48 and 421.6, respectively. The enzyme showed pro-S stereospecificity for hydrogen transfer at the C4 position of the nicotinamide moiety of coenzyme. The gene encoding valine dehydrogenase was cloned into Escherichia coli (Novablue), and the primary structure of the enzyme was deduced on the basis of the nucleotide sequence of the gene encoding the enzyme. The enzyme contains 370 amino-acid residues, and is highly homologous with S. coelicolor ValDH (identity, 46.7%) and S. fradiae ValDH (43.1%). Cytophaga sp. KUC-1 ValDH contains much lower numbers of proline and arginine residues than those of other ValDHs. The changes probably lead to an increase in conformational flexibility of the Cytophaga enzyme molecule to enhance the catalytic activity at low temperatures.</t>
  </si>
  <si>
    <t>Kansai Univ, Fac Engn, Dept Biotechnol, Suita, Osaka 5648680, Japan</t>
  </si>
  <si>
    <t>Kansai University</t>
  </si>
  <si>
    <t>Kansai Univ, Fac Engn, Dept Biotechnol, Suita, Osaka 5648680, Japan.</t>
  </si>
  <si>
    <t>soda@ipcku.kansai-u.ac.jp</t>
  </si>
  <si>
    <t>Yamanaka, Kazuya/AFQ-2728-2022</t>
  </si>
  <si>
    <t>Yamanaka, Kazuya/0000-0002-6141-697X</t>
  </si>
  <si>
    <t>10.1046/j.1432-1327.2001.02353.x</t>
  </si>
  <si>
    <t>463FT</t>
  </si>
  <si>
    <t>WOS:000170467000001</t>
  </si>
  <si>
    <t>Fields, PA; Wahlstrand, BD; Somero, GN</t>
  </si>
  <si>
    <t>Intrinsic versus extrinsic stabilization of enzymes -: The interaction of solutes and temperature on A4-lactate dehydrogenase orthologs from warm-adapted and cold-adapted marine fishes</t>
  </si>
  <si>
    <t>conformational microstates; lactate dehydrogenase; preferential exclusion; stabilization; thermal stability</t>
  </si>
  <si>
    <t>NATIVE-STATE; CONFORMATIONAL FLEXIBILITY; PREFERENTIAL HYDRATION; LACTATE-DEHYDROGENASES; PROTEIN STABILIZATION; DIRECTED EVOLUTION; THERMAL-STABILITY; ADAPTATION; ACTIVATION; EXCLUSION</t>
  </si>
  <si>
    <t>We examined the effects of temperature and stabilizing solutes on A(4)-lactate dehydrogenase (A(4)-LDH) from warm- and cold-adapted fishes, to determine how extrinsic stabilizers affect orthologs with different intrinsic stabilities. Conformational changes during substrate binding are rate-limiting for A(4)-LDH, thus stabilization due to intrinsic or extrinsic factors leads to decreased activity. A(4)-LDH from a warm-temperate goby (Gillichthys mirabilis), which has lower values for k(cat) and the Michaelis constant for pyruvate (K-m(PYR)), was intrinsically more stable than the orthologs of the cold-adapted Antarctic notothenioids Parachaenichthys charcoti and Chionodraco rastrospinosus, as shown by a higher apparent transition ('melting') temperature (T-m(APP)). We used four solutes, glycerol, sucrose, trimethylamine-N-oxide and poly(ethylene glycol) 8000, which stabilize proteins through different modes of preferential exclusion, to study temperature-solute interactions of the three orthologs. Changes in T-m(APP) were similar for all orthologs in each solute tested, but the catalytic rate of G. mirabilis A(4)-LDH was decreased most by solutes and increased most by temperature. In contrast, the K-m(PYR) values of the Antarctic orthologs were more affected than that of the goby by both solutes and temperature. We conclude that (a) preferential exclusion of solutes functions within the native state of A(4)-LDH to favor conformational microstates with minimal surface area; (b) the varied effects of the different solutes on the kinetic properties are due to the interaction between this nonspecific stabilization and the differing intrinsic stabilities of the orthologs; (c) the catalytic rates of A(4)-LDH orthologs are equally affected by stabilizing solutes, if measurements are made at physiologically appropriate temperatures; and (d) global stability and localized flexibility of these A(4)-LDH orthologs may evolve independently.</t>
  </si>
  <si>
    <t>Stanford Univ, Dept Biol Sci, Hopkins Marine Stn, Pacific Grove, CA 93950 USA</t>
  </si>
  <si>
    <t>Stanford University</t>
  </si>
  <si>
    <t>Fields, PA (corresponding author), Stanford Univ, Dept Biol Sci, Hopkins Marine Stn, Pacific Grove, CA 93950 USA.</t>
  </si>
  <si>
    <t>pfields@stanford.edu</t>
  </si>
  <si>
    <t>Somero, George/AAC-3321-2019</t>
  </si>
  <si>
    <t>Somero, George/0000-0003-1431-6455</t>
  </si>
  <si>
    <t>10.1046/j.1432-1327.2001.02374.x</t>
  </si>
  <si>
    <t>WOS:000170467000014</t>
  </si>
  <si>
    <t>Tutino, ML; Duilio, A; Parrilli, E; Remaut, E; Sannia, G; Marino, G</t>
  </si>
  <si>
    <t>A novel replication element from an Antarctic plasmid as a tool for the expression of proteins at low temperature</t>
  </si>
  <si>
    <t>Antarctic bacteria; cold-adapted plasmid; gene expression; pMtBL; Pseudoalteromonas haloplanktis; shuttle vector</t>
  </si>
  <si>
    <t>ALPHA-AMYLASE; ALTEROMONAS-HALOPLANCTIS; BACTERIUM; CLONING; SEQUENCE; TA144</t>
  </si>
  <si>
    <t>Genetic manipulation of Antarctic bacteria has been very limited so far. This article reports the isolation and molecular characterization of a novel plasmid. pMtBL, from the Antarctic gram-negative bacterium Pseudoalteromonas haloplanktis TAC 125. This genetic element, 4,081 bp long, appeared to be a multicopy cryptic replicon with no detectable transcriptional activity. By an in vivo assay, the pMtBL autonomous replication sequence was functionally limited to an AluI plasmid fragment of about 850 bp. This novel cold-adapted replication element showed quite a broad host range profile; it was cloned into a mesophilic genetic construction, obtaining a cold-adapted expression vector that was able to promote the production of P. haloplanktis A23 alpha -amylase in a psychrophilic bacterium. This study represents the first report of successful recombinant production of a cold-adapted protein in an Antarctic host.</t>
  </si>
  <si>
    <t>Univ Monte St Angelo, Dipartimento Chim Organ &amp; Biochim Complesso, I-80126 Naples, Italy; Univ Naples Federico II, Dipartimento Chim Organ &amp; Biochim, Naples, Italy; Univ Ghent, Dept Mol Biol, B-9000 Ghent, Belgium; Flanders Interuniv, Inst Biotechnol, Ghent, Belgium</t>
  </si>
  <si>
    <t>University of Naples Federico II; Ghent University</t>
  </si>
  <si>
    <t>Univ Monte St Angelo, Dipartimento Chim Organ &amp; Biochim Complesso, Via Cynthia, I-80126 Naples, Italy.</t>
  </si>
  <si>
    <t>gmarino@unina.it</t>
  </si>
  <si>
    <t>TUTINO, MARIA LUISA/L-1834-2013; parrilli, ermenegilda/K-4616-2016; parrilli, ermenegilda/JAZ-0586-2023</t>
  </si>
  <si>
    <t>parrilli, ermenegilda/0000-0002-9002-5409; DUILIO, Angela/0000-0002-6833-1303; Tutino, Maria Luisa/0000-0002-4978-6839; SANNIA, Giovanni/0000-0002-7986-6223</t>
  </si>
  <si>
    <t>SPRINGER JAPAN KK</t>
  </si>
  <si>
    <t>TOKYO</t>
  </si>
  <si>
    <t>CHIYODA FIRST BLDG EAST, 3-8-1 NISHI-KANDA, CHIYODA-KU, TOKYO, 101-0065, JAPAN</t>
  </si>
  <si>
    <t>1433-4909</t>
  </si>
  <si>
    <t>10.1007/s007920100203</t>
  </si>
  <si>
    <t>464ZQ</t>
  </si>
  <si>
    <t>WOS:000170563600006</t>
  </si>
  <si>
    <t>George, AL; Murray, AW; Montiel, PO</t>
  </si>
  <si>
    <t>Tolerance of Antarctic cyanobacterial mats to enhanced UV radiation</t>
  </si>
  <si>
    <t>FEMS MICROBIOLOGY ECOLOGY</t>
  </si>
  <si>
    <t>Antarctic; cyanobacterium; UV radiation; pigment; ozone depletion; photoinhibition</t>
  </si>
  <si>
    <t>CHLOROPHYLL FLUORESCENCE ANALYSIS; ULTRAVIOLET-RADIATION; SOLAR-RADIATION; MICROBIAL MATS; PHOTOSYNTHESIS; PIGMENT; PHOTOINHIBITION; PHYTOPLANKTON; PRODUCTIVITY; ECOSYSTEMS</t>
  </si>
  <si>
    <t>To assess the biological implications of ozone depletion over the Antarctic Peninsula, the ultraviolet (UV) regime of two Antarctic cyanobacterial communities (composed of Leptolyngbya sp. and Phormidium sp.),was manipulated using screens that cut out UV radiation and a lamp which enhanced the dose of UV-B radiation (280-315 nm). The biological response of the cyanobacterial mats was monitored by measurement of chlorophyll fluorescence and pigment concentrations. The Leptolyngbya mat showed significant photochemical inhibition due to increased UV-B relative to photosynthetically active radiation (400-700 nm). The effect of UV on the Phormidium mat was less pronounced and dependent on the method of analysis: significantly lower photochemical yields were observed in UV-enhanced Phormidium mats compared to UV-excluded treatment, but if the yield data relative to the time zero control were considered then no effect of UV enhancement was observed. The Phormidium mat contained over 25 times the absolute concentration of UV-protecting mycosporine-like amino acid (MAA) and double the concentration of carotenoids compared to the Leptolyngbya mat, but the latter contained a higher ratio of carotenoids+MAAs to chlorophyll. There were no significant treatment-related changes in the concentrations of MAA, carotenoids and chlorophyll a in the Phormidium mat. The Leptolyngbya mat showed significantly lower chlorophyll a concentrations under UV enhancement, which could account for the lower photochemical yield in this sample. Our results show that different cyanobacterial species have differing photochemical sensitivity to UV-B radiation, which may confer a subtle advantage to the UV-B tolerant species over the less tolerant type during a period of high UV-B irradiance. (C) 2001 Federation of European Microbiological Societies. Published by Elsevier Science B.V. All rights reserved.</t>
  </si>
  <si>
    <t>George, AL (corresponding author), British Antarctic Survey, Madingley Rd, Cambridge CB3 0ET, England.</t>
  </si>
  <si>
    <t>0168-6496</t>
  </si>
  <si>
    <t>FEMS MICROBIOL ECOL</t>
  </si>
  <si>
    <t>FEMS Microbiol. Ecol.</t>
  </si>
  <si>
    <t>10.1111/j.1574-6941.2001.tb00856.x</t>
  </si>
  <si>
    <t>472GU</t>
  </si>
  <si>
    <t>WOS:000170976200010</t>
  </si>
  <si>
    <t>Worland, MR; Convey, P</t>
  </si>
  <si>
    <t>Rapid cold hardening in Antarctic microarthropods</t>
  </si>
  <si>
    <t>FUNCTIONAL ECOLOGY</t>
  </si>
  <si>
    <t>cold tolerance; collembola; differential scanning calorimeter; gut clearance; mite</t>
  </si>
  <si>
    <t>ALASKOZETES-ANTARCTICUS; CRYPTOPYGUS-ANTARCTICUS; SIGNY ISLAND; TOLERANCE; COLLEMBOLA; HARDINESS; TEMPERATURE; INSECTS; MITES; ARTHROPODS</t>
  </si>
  <si>
    <t>1. Rapid cold hardening was examined in three common Antarctic microarthropods using differential scanning calorimetry over timescales between 3 and 30 h, under field and controlled laboratory conditions. 2. In fresh field samples and cultures of the springtail, Cryptopygus antareticus (Willem), and cultures of the mites, Alaskozetes antarcticus (Michael) and Halozetes belgicae (Michael), maintained under summer field-simulating conditions, supercooling point (SCP) distributions tracked microhabitat temperature variation over the observation period. 3. Controlled acclimation of samples of summer-acclimatized C. antarcticus caused significant cold hardening after 12 h at temperatures around 0 degreesC (+3 to -2 degreesC). No response was obtained at higher or lower temperatures, or in field-fresh winter-acclimatized animals. The latter did not lose cold hardiness when held at positive temperatures for 12 h. 4. Gradual cooling of C antarcticus over 20 h from +5 to -5 degreesC caused a considerable increase in cold tolerance. Rewarming partially but non-significantly reversed this effect. The greatest response occurred between +3 and +1 degreesC. Maximum faecal pellet production also occurred in this interval, but gut clearance alone was not sufficient to explain observed cold hardening. 5. It is hypothesized that these species possess a hitherto unrecognized capacity to alter cold hardiness in summer in response to environmental temperature cues over a shorter timescale than previously thought, by a mechanism that relies on neither gut clearance nor concentration of body fluids via water loss. This ability may reduce the developmental costs of premature entry into an inactive, cold-hardy state.</t>
  </si>
  <si>
    <t>British Antarctic Survey, Nat Environm Res Council, Cambridge CB3 0ET, England</t>
  </si>
  <si>
    <t>Worland, MR (corresponding author), British Antarctic Survey, Nat Environm Res Council, High Cross,Madingley Rd, Cambridge CB3 0ET, England.</t>
  </si>
  <si>
    <t>0269-8463</t>
  </si>
  <si>
    <t>FUNCT ECOL</t>
  </si>
  <si>
    <t>Funct. Ecol.</t>
  </si>
  <si>
    <t>10.1046/j.0269-8463.2001.00547.x</t>
  </si>
  <si>
    <t>462AZ</t>
  </si>
  <si>
    <t>WOS:000170398500013</t>
  </si>
  <si>
    <t>Casquet, C; Baldo, E; Pankhurst, RJ; Rapela, CW; Galindo, C; Fanning, CM; Saavedra, J</t>
  </si>
  <si>
    <t>Involvement of the Argentine Precordillera terrane in the Famatinian mobile belt: U-PbSHRIMP and metamorphic evidence from the Sierra de Pie de Palo</t>
  </si>
  <si>
    <t>Argentina; Ordovician; continent collision; metamorphism; SHRIMP zircon dating</t>
  </si>
  <si>
    <t>EVOLUTION; ZIRCON; MINERALS</t>
  </si>
  <si>
    <t>New data suggest that the eastern margin of the Argentine Precordillera terrane comprises Grenvillian basement and a sedimentary cover derived from it that were together affected by Middle Ordovician deformation and metamorphism during accretion to the Gondwana margin. The basement first underwent low pressure/temperature (P/T) type metamorphism, reaching high-grade migmatitic conditions in places (686 +/- 40 MPa, 790 +/- 17 degreesC), comparable to the Grenvillian M-2 metamorphism of the supposed Laurentian counterpart of the terrane. The second metamorphism, recognized in the cover sequence, is of Famatinian age and took place under higher P/T conditions, following a clockwise P-T path (baric peak: 1300 +/- 100 Mpa, 600 +/- 50 degreesC). Low-U zircon overgrew detrital Grenvillian cores as pressure fell from its peak, and yields U-Pb SHRIMP ages of ca. 460 Ma. This is Interpreted as the age of ductile thrusting coincident with early uplift; initial accretion to Gondwana must have occurred before this. The absence of late Neoproterozoic detrital zircons is consistent with a Laurentian origin of the Argentine Precordillera terrane.</t>
  </si>
  <si>
    <t>Univ Complutense Madrid, Dept Petrol &amp; Geoquim, E-28040 Madrid, Spain; Univ Nacl Cordoba, Dept Geol, RA-5000 Cordoba, Argentina; British Antarctic Survey, Cambridge CB3 0ET, England; Univ Nacl La Plata, Ctr Invest Geol, La Plata, Buenos Aires, Argentina; Australian Natl Univ, Res Sch Earth Sci, Canberra, ACT 0200, Australia; CSIC, Inst Agrobiol &amp; Recursos Nat, Salamanca 37071, Spain</t>
  </si>
  <si>
    <t>Complutense University of Madrid; National University of Cordoba; UK Research &amp; Innovation (UKRI); Natural Environment Research Council (NERC); NERC British Antarctic Survey; National University of La Plata; Australian National University; Consejo Superior de Investigaciones Cientificas (CSIC); CSIC-GN-UPNA - Instituto de Agrobiotecnologia (IDAB)</t>
  </si>
  <si>
    <t>Univ Complutense Madrid, Dept Petrol &amp; Geoquim, E-28040 Madrid, Spain.</t>
  </si>
  <si>
    <t>Fanning, C. Mark/I-6449-2016; Casquet, Cesar/AAV-1508-2020</t>
  </si>
  <si>
    <t>10.1130/0091-7613(2001)029&lt;0703:IOTAPT&gt;2.0.CO;2</t>
  </si>
  <si>
    <t>458XH</t>
  </si>
  <si>
    <t>Green Accepted, Green Published</t>
  </si>
  <si>
    <t>WOS:000170220400010</t>
  </si>
  <si>
    <t>Lamb, SH; Randall, DE</t>
  </si>
  <si>
    <t>Deriving palaeomagnetic poles from independently assessed inclination and declination data: implications for South American poles since 120 Ma</t>
  </si>
  <si>
    <t>apparent polar wander; palaeomagnetism; tectonics</t>
  </si>
  <si>
    <t>VERTICAL-AXIS ROTATIONS; POLAR WANDER PATH; CRETACEOUS VOLCANIC-ROCKS; NORTHERN CHILE; CENTRAL ANDES; LATE MIOCENE; STRUCTURAL CONSTRAINTS; TECTONIC ROTATIONS; WESTERN DESERT; PLATEAU</t>
  </si>
  <si>
    <t>Palaeomagnetic poles for a stable continental block are typically defined from a combination of declination and inclination information from several temporally constrained studies. Poles from regions that have undergone vertical-axis rotation as a consequence of tectonics are excluded due to the absence of declination data. These poles, however, do contain useful information in their inclinations. We develop a simple but statistically rigorous technique allowing palaeomagnetic poles to be calculated from a mixture of declination and inclination data drawn from localities in the stable continental block and inclination data from the regions disturbed by vertical-axis rotation. Together this provides a larger data set of high-quality palaeomagnetic poles from which to calculate reference poles. The technique was used to define palaeomagnetic poles for South America for the Late Cretaceous-Cenozoic (120-5 Ma) period. Data from stable, cratonic South America, combined with data from Africa, rotated into a South America reference frame, and the Andean margin, yield reference poles, as well as mean poles for the Palaeogene and Neogene. Analysis of the data reveals systematic biases in the data set, and, in particular, the fit of the inclination data is poor for most time periods. In many cases, this situation is improved if the effect of inclination shallowing due to sedimentary depositional processes and subsequent compaction is removed. The best-fit poles define an apparent polar wander path for South America that is consistent with the global plate reconstruction parameters. Use of the new poles in studies of tectonic rotation should allow greater temporal and spatial resolution of vertical-axis rotation and offer the ability to identify smaller rotations in the Andean margin.</t>
  </si>
  <si>
    <t>Univ Oxford, Dept Earth Sci, Oxford OX1 3PR, England; British Antarctic Survey, NERC, Cambridge CB3 0ET, England</t>
  </si>
  <si>
    <t>Lamb, SH (corresponding author), Environm Agcy, Manley House,Kestrel Way, Exeter EX2 7LQ, Devon, England.</t>
  </si>
  <si>
    <t>simon.lamb@earth.ox.ac.uk</t>
  </si>
  <si>
    <t>10.1046/j.0956-540x.2001.01449.x</t>
  </si>
  <si>
    <t>462NK</t>
  </si>
  <si>
    <t>WOS:000170426000006</t>
  </si>
  <si>
    <t>Fang, M; Hager, BH</t>
  </si>
  <si>
    <t>Vertical deformation and absolute gravity</t>
  </si>
  <si>
    <t>compressibility; GPS; gravity; postglacial rebound</t>
  </si>
  <si>
    <t>POSTGLACIAL SEA-LEVEL; CHANGING POLAR ICE; VISCOSITY PROFILES; VISCOELASTIC EARTH; FLUID CORE; PREDICTIONS</t>
  </si>
  <si>
    <t>Crustal deformation in the Greenland and Antarctic areas is strongly influenced by both postglacial rebound and contemporary mass redistribution. We explore the relationship between the displacement field and the gravitational disturbance for a viscoelastic Maxwell Earth with an arbitrary radial viscosity profile. We seek to determine whether the effects of viscous relaxation in the memory of surface mass change can be separated from the effects of present day mass variation by combined measurements of vertical displacement and absolute gravity when the viscosity profile in the Earth's interior is unknown. Our conclusion is positive. Specifically, the non-elastic effects can be reduced substantially by combined measurements of displacement and gravity change for a Maxwell viscoelastic Earth regardless of its radial viscosity profile. The underlying physics has nothing to do with the mathematical structure of viscous relaxation modes. Rather, it is due to the fact that the non-elastic response of a Maxwell Earth is nearly incompressible.</t>
  </si>
  <si>
    <t>MIT, Dept Earth Atmospher &amp; Planetary Sci, Cambridge, MA 02139 USA</t>
  </si>
  <si>
    <t>Massachusetts Institute of Technology (MIT)</t>
  </si>
  <si>
    <t>Fang, M (corresponding author), MIT, Dept Earth Atmospher &amp; Planetary Sci, 77 Massachusetts Ave, Cambridge, MA 02139 USA.</t>
  </si>
  <si>
    <t>10.1046/j.0956-540x.2001.01483.x</t>
  </si>
  <si>
    <t>WOS:000170426000017</t>
  </si>
  <si>
    <t>Popp, PJ; Northway, MJ; Holecek, JC; Gao, RS; Fahey, DW; Elkins, JW; Hurst, DF; Romashkin, PA; Toon, GC; Sen, B; Schauffler, SM; Salawitch, RJ; Webster, CR; Herman, RL; Jost, H; Bui, TP; Newman, PA; Lait, LR</t>
  </si>
  <si>
    <t>Severe and extensive denitrification in the 1999-2000 Arctic winter stratosphere</t>
  </si>
  <si>
    <t>TOTAL REACTIVE NITROGEN; POLAR VORTEX; OZONE LOSS; AEROSOL; RECOVERY; CLOUD; OXIDE; HNO3; H2O</t>
  </si>
  <si>
    <t>Observations in the 1999-2000 Arctic winter stratosphere show the most severe and extensive denitrification ever observed in the northern hemisphere. Denitrification was inferred from in situ measurements conducted during high-altitude aircraft flights between January and March 2000. Average removal of more than 60% of the reactive nitrogen reservoir (NOy) was observed in air masses throughout the core of the Arctic vortex. Denitrification was observed at altitudes between 16 and 21 km, with the most severe denitrification observed at 20 to 21 km. Nitrified air masses were also observed, primarily at lower altitudes. These results show that denitrification in the Arctic lower stratosphere can approach the severity and extent of that previously observed only in the Antarctic.</t>
  </si>
  <si>
    <t>NOAA, Aeron Lab, Boulder, CO 80305 USA; NOAA, Climate Monitoring &amp; Diagnost Lab, Boulder, CO 80305 USA; Univ Colorado, Cooperat Inst Res Environm Sci, Boulder, CO 80309 USA; CALTECH, Jet Prop Lab, NASA, Pasadena, CA 91109 USA; Natl Ctr Atmospher Res, Boulder, CO 80307 USA; NASA, Ames Res Ctr, Moffett Field, CA 94035 USA; NASA, Goddard Space Flight Ctr, Greenbelt, MD 20771 USA</t>
  </si>
  <si>
    <t>National Oceanic Atmospheric Admin (NOAA) - USA; National Oceanic Atmospheric Admin (NOAA) - USA; University of Colorado System; University of Colorado Boulder; National Aeronautics &amp; Space Administration (NASA); NASA Jet Propulsion Laboratory (JPL); California Institute of Technology; National Center Atmospheric Research (NCAR) - USA; National Aeronautics &amp; Space Administration (NASA); NASA Ames Research Center; National Aeronautics &amp; Space Administration (NASA); NASA Goddard Space Flight Center</t>
  </si>
  <si>
    <t>Popp, PJ (corresponding author), NOAA, Aeron Lab, Boulder, CO 80305 USA.</t>
  </si>
  <si>
    <t>HURST, DALE/AAC-9948-2022; Webster, Chris/M-9315-2019; Hurst, Dale/D-1554-2016; Gao, Ru-Shan/H-7455-2013; Salawitch, Ross/B-4605-2009; Herman, Robert L./AAK-1986-2020; Herman, Robert/H-9389-2012; Newman, Paul A./D-6208-2012; Fahey, David/G-4499-2013</t>
  </si>
  <si>
    <t>HURST, DALE/0000-0002-6315-2322; Hurst, Dale/0000-0002-6315-2322; Gao, Ru-Shan/0000-0001-6985-1637; Herman, Robert L./0000-0001-7063-6424; Herman, Robert/0000-0001-7063-6424; Newman, Paul A./0000-0003-1139-2508; Fahey, David/0000-0003-1720-0634</t>
  </si>
  <si>
    <t>AUG 1</t>
  </si>
  <si>
    <t>10.1029/2001GL013132</t>
  </si>
  <si>
    <t>457VK</t>
  </si>
  <si>
    <t>WOS:000170157400001</t>
  </si>
  <si>
    <t>Roscoe, HK; Kreher, K; Friess, U</t>
  </si>
  <si>
    <t>Ozone loss episodes in the free Antarctic troposphere, suggesting a possible climate feedback</t>
  </si>
  <si>
    <t>POLAR SUNRISE; STRATOSPHERIC OZONE; BOUNDARY-LAYER; BROMINE; DESTRUCTION; DEPLETION; SNOW</t>
  </si>
  <si>
    <t>Sudden loss of tropospheric ozone well above the boundary layer was observed on three occasions at two coastal sites in Antarctica in spring 1995. Back trajectories show that the air sampled the boundary layer near the northern edge of the sea ice (1000 km from the coast) between 3 and 5 days previously, Enhanced BrO observed over sea ice in spring suggests that such ozone loss is common offshore, hence it may cause a small climate effect whose sign would create positive feedback, if sea ice reduced during warming.</t>
  </si>
  <si>
    <t>British Antarctic Survey, NERC, Cambridge, England; Univ Heidelberg, D-6900 Heidelberg, Germany</t>
  </si>
  <si>
    <t>UK Research &amp; Innovation (UKRI); Natural Environment Research Council (NERC); NERC British Antarctic Survey; Ruprecht Karls University Heidelberg</t>
  </si>
  <si>
    <t>Roscoe, HK (corresponding author), British Antarctic Survey, NERC, Cambridge, England.</t>
  </si>
  <si>
    <t>Frieß, Udo/B-1696-2012</t>
  </si>
  <si>
    <t>Friess, Udo/0000-0001-7176-7936</t>
  </si>
  <si>
    <t>10.1029/2000GL012583</t>
  </si>
  <si>
    <t>Green Accepted, Bronze</t>
  </si>
  <si>
    <t>WOS:000170157400010</t>
  </si>
  <si>
    <t>Orsi, AH; Jacobs, SS; Gordon, AL; Visbeck, M</t>
  </si>
  <si>
    <t>Cooling and ventilating the abyssal ocean</t>
  </si>
  <si>
    <t>DEEP-WATER FORMATION; CIRCULATION; CONVECTION; MASSES; LAND</t>
  </si>
  <si>
    <t>The abyssal ocean is filled with cold, dense waters that sink along the Antarctic continental slope and overflow sills that lie south of the Nordic Seas. Recent integrations of chlorofluorocarbon-11 (CFC) measurements are similar in Antarctic Bottom Water (AABW) and in lower North Atlantic Deep Water (NADW), but Antarctic inputs are approximate to 2 degreesC colder than their northern counterparts. This indicates comparable ventilation rates from both polar regions, and accounts for the Southern Ocean dominance over abyssal cooling. The decadal CFC-based estimates of recent ventilation are consistent with other hydrographic observations and with longer-term radiocarbon data, but not with hypotheses of a 20(th) -century slowdown in the rate of AABW formation. Significant variability is not precluded by the available ocean measurements, however, and interannual to decadal changes are increasingly evident at high latitudes.</t>
  </si>
  <si>
    <t>Texas A&amp;M Univ, Dept Oceanog, College Stn, TX 77843 USA; Columbia Univ, Lamont Doherty Earth Observ, Palisades, NY 10964 USA</t>
  </si>
  <si>
    <t>Texas A&amp;M University System; Texas A&amp;M University College Station; Columbia University</t>
  </si>
  <si>
    <t>Texas A&amp;M Univ, Dept Oceanog, College Stn, TX 77843 USA.</t>
  </si>
  <si>
    <t>aorsi@tamu.edu; sjacobs@ldeo.columbia.edu; agordon@ldeo.columbia.edu; visbeck@ldeo.columbia.edu</t>
  </si>
  <si>
    <t>Visbeck, Martin H/B-6541-2016; Gordon, Arnold/H-1049-2011; Visbeck, Martin/G-2461-2011</t>
  </si>
  <si>
    <t>10.1029/2001GL012830</t>
  </si>
  <si>
    <t>Green Submitted, Green Accepted</t>
  </si>
  <si>
    <t>WOS:000170157400013</t>
  </si>
  <si>
    <t>Hellmer, HH; Beckmann, A</t>
  </si>
  <si>
    <t>The Southern Ocean: A ventilation contributor with multiple sources</t>
  </si>
  <si>
    <t>ANTARCTIC BOTTOM WATER; WEDDELL SEA; ADELIE LAND; DEEP-WATER; CIRCULATION; MODEL</t>
  </si>
  <si>
    <t>Based on water mass analysis, the Weddell Sea in the Atlantic sector was identified as the major source for Southern Ocean bottom water. Recent observations, and tracer analysis and modeling indicate that the Indian-Pacific sector might be the location of additional bottom water sources similar in magnitude as their Atlantic counterpart. Numerical model results presented here suggest that the Atlantic and Indian-Pacific contributions to Southern Ocean bottom water are roughly equal but for waters of different density. The observationally derived formation rate of dense Antarctic Bottom Water of the order of 10 Sv (1 Sv = 10(6) m(3) s(-1)) is confirmed by the model results but doubles if the lighter component of the Indian-Pacific sector is included. This result suggests that southern and northern hemisphere sources are equal contributors to the ventilation of the deep world ocean.</t>
  </si>
  <si>
    <t>Hellmer, HH (corresponding author), Alfred Wegener Inst Polar &amp; Marine Res, Postfach 12 01 61, D-27515 Bremerhaven, Germany.</t>
  </si>
  <si>
    <t>Hellmer, Hartmut/0000-0002-9357-9853</t>
  </si>
  <si>
    <t>10.1029/2001GL013054</t>
  </si>
  <si>
    <t>WOS:000170157400014</t>
  </si>
  <si>
    <t>Dietrich, R; Shibuya, K; Pötzsch, A; Ozawa, T</t>
  </si>
  <si>
    <t>Evidence for tides in the subglacial Lake Vostok, Antarctica</t>
  </si>
  <si>
    <t>ICE; GREENLAND; MOTION</t>
  </si>
  <si>
    <t>The phenomenon of lake tides is investigated for the subglacial Lake Vostok, East Antarctica. A model computation of equilibrium lake tides leads to a maximum lake level variation of about 18mm. To verify the hypothesis of really existing lake tides data from two different observational techniques are analysed. The re-evaluation of old tidal gravity data from Vostok Station as well as satellite synthetic aperture radar interferometry (InSAR) reveal specific signals which are explained as lake tides. The results of gravimetric tidal observations at Vostok Station from 1969 [Schneider, 1971; Schneider and Simon, 1974] show systematic deviations from the expected solid earth tide signal which correspond to a vertical tidal displacement of 12 and 2 mm amplitude for the waves K1 and M2, respectively. The InSAR data show the areal pattern of a vertical motion at the southern lake tip which is analogous to the grounding zone of ice shelves.</t>
  </si>
  <si>
    <t>Tech Univ Dresden, Inst Planetare Geodasie, D-01062 Dresden, Germany; Natl Inst Polar Res, Ctr Antarctic Environm Monitoring, Tokyo 1738515, Japan</t>
  </si>
  <si>
    <t>Technische Universitat Dresden; Research Organization of Information &amp; Systems (ROIS); National Institute of Polar Research (NIPR) - Japan</t>
  </si>
  <si>
    <t>Dietrich, R (corresponding author), Tech Univ Dresden, Inst Planetare Geodasie, D-01062 Dresden, Germany.</t>
  </si>
  <si>
    <t>dietrich@ipg.geo.tu-dresden.de; shibuya@nipr.ac.jp; poetzsch@ipg.geo.tu-dresden.de; ozawa@nipr.ac.jp</t>
  </si>
  <si>
    <t>10.1029/2001GL013230</t>
  </si>
  <si>
    <t>WOS:000170157400025</t>
  </si>
  <si>
    <t>Magnetic anomaly map of the Antarctic</t>
  </si>
  <si>
    <t>GEOTIMES</t>
  </si>
  <si>
    <t>AMER GEOLOGICAL INST</t>
  </si>
  <si>
    <t>ALEXANDRIA</t>
  </si>
  <si>
    <t>4220 KING ST, ALEXANDRIA, VA 22302-1507 USA</t>
  </si>
  <si>
    <t>0016-8556</t>
  </si>
  <si>
    <t>Geotimes</t>
  </si>
  <si>
    <t>504HX</t>
  </si>
  <si>
    <t>WOS:000172852200013</t>
  </si>
  <si>
    <t>Guerra-García, JM</t>
  </si>
  <si>
    <t>A new species of Caprellinoides (Crustacea: Amphipoda: Phtisicidae) from the Antarctic</t>
  </si>
  <si>
    <t>HELGOLAND MARINE RESEARCH</t>
  </si>
  <si>
    <t>Caprellidean amphipods; Caprellinoides singularis; Caprellinoides tristanensis; Caprellinoides mayeri; Antarctic</t>
  </si>
  <si>
    <t>A new caprellid species, Caprellinoides singularis. is described and illustrated based on the material collected on the Polarstern Cruise ANT XVII/3 from the Branfield Strait. The most striking characteristic of this species is the presence of bilobed gills on pereonites 3 and 4. The genus Caprellinoides is revised. Caprellinoides antarctica Schellengerg. 1926 and Caprellinoides spinosus Barnard. 1930 are considered junior synonyms of Caprellinoides tristanensis Stebbing, 1888 and Caprellinoides mayeri (Pfeffer, 1888), respectively. The new species, C. singularis, is compared with the remaining species in the genus Caprellinoides: C. tristanensis and C. mayeri, which are illustrated in detail.</t>
  </si>
  <si>
    <t>Univ Sevilla, Fac Biol, Dept Fisiol &amp; Biol Anim, Lab Biol Marina, E-41080 Seville, Spain</t>
  </si>
  <si>
    <t>University of Sevilla</t>
  </si>
  <si>
    <t>Guerra-García, JM (corresponding author), Univ Sevilla, Fac Biol, Dept Fisiol &amp; Biol Anim, Lab Biol Marina, Apdo 1095, E-41080 Seville, Spain.</t>
  </si>
  <si>
    <t>Guerra-García, José Manuel/P-1700-2014</t>
  </si>
  <si>
    <t>Guerra-García, José Manuel/0000-0001-6050-4997; Guerra, Jose M/0000-0001-5397-9177</t>
  </si>
  <si>
    <t>1438-387X</t>
  </si>
  <si>
    <t>HELGOLAND MAR RES</t>
  </si>
  <si>
    <t>Helgoland Mar. Res.</t>
  </si>
  <si>
    <t>10.1007/s101520100082</t>
  </si>
  <si>
    <t>474ET</t>
  </si>
  <si>
    <t>WOS:000171093900008</t>
  </si>
  <si>
    <t>Romao, S; Freire, CA; Fanta, E</t>
  </si>
  <si>
    <t>Ionic regulation and Na+,K+-ATPase activity in gills and kidney of the Antarctic aglomerular cod icefish exposed to dilute sea water</t>
  </si>
  <si>
    <t>fish; gills; aglomerular kidney; ionic regulation; Na+,K+-ATPase; Notothenia neglecta</t>
  </si>
  <si>
    <t>TILAPIA OREOCHROMIS-MOSSAMBICUS; FRESH-WATER; FISH; ACCLIMATION; OSMOREGULATION; RESPONSES; TRANSPORT; SALINITY; SERUM</t>
  </si>
  <si>
    <t>When Notothenia neglecta was exposed to diluted, half strength, sea water for 6 h or 10 days, serum concentrations of Cl-, Na+, K+ and Mg2+ did not differ from those of sea water controls. This indicates that the fish were capable of both short- and long-term regulation. Renal Na+,K+-ATPase activity decreased after a 6 h exposure to diluted sea water, but there were no differences between diluted sea water and controls after 10 days of exposure. (C) 2001 The Fisheries Society of the British Isles.</t>
  </si>
  <si>
    <t>Univ Fed Parana, Dept Fisiol, Ctr Politecn, BR-81531990 Curitiba, Parana, Brazil; Univ Fed Parana, Dept Biol Celular, Ctr Politecn, BR-81531990 Curitiba, Parana, Brazil</t>
  </si>
  <si>
    <t>Universidade Federal do Parana; Universidade Federal do Parana</t>
  </si>
  <si>
    <t>Freire, CA (corresponding author), Univ Fed Parana, Dept Fisiol, Ctr Politecn, BR-81531990 Curitiba, Parana, Brazil.</t>
  </si>
  <si>
    <t>Freire, Carolina/JMR-1961-2023; Freire, Carolina A/J-3920-2015</t>
  </si>
  <si>
    <t>10.1111/j.1095-8649.2001.tb00146.x</t>
  </si>
  <si>
    <t>463XJ</t>
  </si>
  <si>
    <t>WOS:000170502300020</t>
  </si>
  <si>
    <t>Makarevitch, RA; Ogawa, T; Igarashi, K; Koustov, AV; Sato, N; Ohtaka, K; Yamagishi, H; Yukimatu, A</t>
  </si>
  <si>
    <t>On the power-velocity relationship for 12-and 50-MHz auroral coherent echoes</t>
  </si>
  <si>
    <t>REGION PLASMA IRREGULARITIES; IONOSPHERIC IRREGULARITIES; HF RADAR; ELECTRIC-FIELD; CROSS-SECTION; BACKSCATTER; DEPENDENCE; SPECTRUM; TURBULENCE; DENSITY</t>
  </si>
  <si>
    <t>Nearly simultaneous observations of 12- and 50-MHz coherent echoes at the Antarctic Syowa station are considered for studying the power-Doppler velocity relationship at these significantly different radar frequencies. We concentrate on postmidnight measurements when both 12- and 50-MHz echoes were seen as narrow bands (similar to 150-200 km) of strong backscatter at short distances of &lt; 500 km. First, we examine the slant range profiles for the power and Doppler velocity by averaging data for nine separate events in March 1997. At 50 MHz the power was found to increase with velocity. At 12 MHz a power increase was found only in the velocity range of 100-350 m s(-1). For larger velocities a saturation of 12-MHz echo power and even some power decrease were seen. To further explore the effect, we restricted the database to only almost simultaneous records at 12 and 50 MHz. We show that overall measured 12- and 50-MHz velocity values are similar, with significant deviations at some moments. We again found a power increase with velocity for 50-MHz echoes. We also confirm a 12-MHz power increase for relatively low velocities, in between 50 and 450 m s(-1). For larger 12-MHz velocities, data indicate clear saturation of the power and power decrease, though the latter effect is very subtle. We argue that the 12-MHz power saturation and decrease at large velocities are not due to smaller electrojet irregularity intensity at these velocities but, rather, to irregularity intensity decrease with height and 12-MHz radio wave focusing on the top of the electrojet layer.</t>
  </si>
  <si>
    <t>Univ Saskatchewan, Inst Space &amp; Atmospher Studies, Saskatoon, SK S7N 5E2, Canada; Nagoya Univ, Solar Terr Environm Lab, Toyokawa, Aichi 4428507, Japan; Natl Inst Polar Res, Tokyo 1738515, Japan</t>
  </si>
  <si>
    <t>University of Saskatchewan; Nagoya University; Research Organization of Information &amp; Systems (ROIS); National Institute of Polar Research (NIPR) - Japan</t>
  </si>
  <si>
    <t>Makarevitch, RA (corresponding author), Univ Saskatchewan, Inst Space &amp; Atmospher Studies, 116 Sci Pl, Saskatoon, SK S7N 5E2, Canada.</t>
  </si>
  <si>
    <t>makarevitch@dansas.usask.ca; jkoustov@dansas.usask.ca</t>
  </si>
  <si>
    <t>Makarevich, Roman/B-9539-2009; Makarevich, Roman/H-4542-2013</t>
  </si>
  <si>
    <t>A8</t>
  </si>
  <si>
    <t>10.1029/2000JA000330</t>
  </si>
  <si>
    <t>456HQ</t>
  </si>
  <si>
    <t>WOS:000170077400004</t>
  </si>
  <si>
    <t>Innis, JL; Greet, PA; Dyson, PL</t>
  </si>
  <si>
    <t>Thermospheric gravity waves in the southern polar cap from 5 years of photometric observations at Davis, Antarctica</t>
  </si>
  <si>
    <t>TRAVELING IONOSPHERIC DISTURBANCES; HIGH-LATITUDE IONOSPHERE; AURORAL RADAR NETWORK; SUBSTORMS; ZONE; WIND; TIDS</t>
  </si>
  <si>
    <t>Five years of photometric data of the lambda 630 nm ox In auroral/airglow emission (similar to 240-km altitude) over Davis, Antarctica (Lambda=-74.6(0)) are searched for evidence of periodic oscillations due. to atmospheric gravity waves. Data were selected for intervals when the auroral oval was equatorward of Davis and hence are from the thermospheric polar cap. A total of 106 cloud-free nights, each with a minimum of 2 hours in the cap, were subjected to a full spectral analysis. Wave-like features were seen oil 45 nights (42%), with some nights showing evidence for two intervals of waves: A total of 53 waves were identified, Periods range from similar to 13 to 40 min. We identify the oscillations as the signatures of gravity waves. Derived wave properties include horizontal wavelengths from 220 to 1600 km and phase speeds ranging from similar to 200 to similar to 850 ms(-1). Around half of the waves are directed within similar to +/- 40(0) of magnetic south, with most of the remainder being directed either approximately magnetic east or magnetic west. We interpret this as indicating the wave source regions are of significant linear extent and are aligned either parallel or perpendicular to the auroral oval. Source locations are estimated using the known dependence on frequency of the gravity wave angle of ascent, assuming the source is near the electrojet height (120 km) and ignoring the effects of background winds. The source locations are found to be near the magnetic latitude of the poleward edge of the auroral oval. Phase speeds and travel directions are similar to the speeds and direction of substorm surges, which is suggestive of the source of these waves.</t>
  </si>
  <si>
    <t>Australian Antarctic Div, Kingston, Tas 7050, Australia; La Trobe Univ, Dept Phys, Bundoora, Vic 3083, Australia</t>
  </si>
  <si>
    <t>Australian Antarctic Division; La Trobe University</t>
  </si>
  <si>
    <t>Australian Antarctic Div, Channel Highway, Kingston, Tas 7050, Australia.</t>
  </si>
  <si>
    <t>john.innis@aad.gov.au; pene.greet@aad.gov.au; p.dyson@latrobe.edu.au</t>
  </si>
  <si>
    <t>10.1029/2001JA000032</t>
  </si>
  <si>
    <t>WOS:000170077400006</t>
  </si>
  <si>
    <t>Lutjeharms, JRE; Ansorge, IJ</t>
  </si>
  <si>
    <t>The Agulhas Return Current</t>
  </si>
  <si>
    <t>JOURNAL OF MARINE SYSTEMS</t>
  </si>
  <si>
    <t>Agulhas Return Current; geostrophic speed; volume transport</t>
  </si>
  <si>
    <t>SOUTH INDIAN-OCEAN; ANTARCTIC CIRCUMPOLAR CURRENT; INTERMEDIATE WATER; FRONTAL STRUCTURE; ATLANTIC; CIRCULATION; RETROFLECTION; THERMOCLINE; VARIABILITY; EXCHANGE</t>
  </si>
  <si>
    <t>The Agulhas Return Current constitutes the intense flow along the Subtropical Convergence south of Africa. It forms the connecting link between the generically similar South Atlantic Current and the South Indian Ocean Current, thus contributing to the water exchange between these two basins. This general along-front flow is, however, substantially modified south of Africa by contributions from the Agulhas Current. We have carried out a first study of the hydrography and dynamics of the Agulhas Return Current along its full length using a collection of available modem hydrographic data. It is shown that on average the current lies at a latitude of 39 degrees 30'S south of Africa, increasing slowly downstream to a latitude of 44 degrees 30'S at 60 degreesE, except where it crosses a number of meridional ridges where northward shifts of up to 2 degrees 30' are occasionally observed. Geostrophic speeds relative to 1500 in demonstrate a gradual eastward decrease in the velocity of the current from an average of 75 cm/s at the Agulhas retroflection to 13 cm/s at 76 degreesE. Volume transports are similarly reduced from 54 X 10(6) m(3)/S in the retroflection region to 15 X 10(6) m(3)/s at 76 degreesE. Temperature/salinity properties show water mass characteristics of the Agulhas Current to extend to at least 61 degreesE. Based on these results, we suggest that the Agulhas Return Current is zonally continuous and terminates between 66 degreesE and 70 degreesE. We therefore propose that the name South Indian Ocean Current be retained for the flow east of here only. (C) 2001 Elsevier Science B.V. All rights reserved.</t>
  </si>
  <si>
    <t>Univ Cape Town, Dept Oceanog, ZA-7700 Rondebosch, South Africa</t>
  </si>
  <si>
    <t>University of Cape Town</t>
  </si>
  <si>
    <t>Univ Cape Town, Dept Oceanog, ZA-7700 Rondebosch, South Africa.</t>
  </si>
  <si>
    <t>johann@physci.uct.ac.za</t>
  </si>
  <si>
    <t>ANSORGE, ISABELLE/AAY-7396-2020</t>
  </si>
  <si>
    <t>Ansorge, Isabelle/0000-0001-7071-8147</t>
  </si>
  <si>
    <t>0924-7963</t>
  </si>
  <si>
    <t>1879-1573</t>
  </si>
  <si>
    <t>J MARINE SYST</t>
  </si>
  <si>
    <t>J. Mar. Syst.</t>
  </si>
  <si>
    <t>10.1016/S0924-7963(01)00041-0</t>
  </si>
  <si>
    <t>Geosciences, Multidisciplinary; Marine &amp; Freshwater Biology; Oceanography</t>
  </si>
  <si>
    <t>Geology; Marine &amp; Freshwater Biology; Oceanography</t>
  </si>
  <si>
    <t>478NU</t>
  </si>
  <si>
    <t>WOS:000171352900007</t>
  </si>
  <si>
    <t>Lud, D; Buma, AGJ; van de Poll, W; Moerdijk, TCW; Huiskes, AHL</t>
  </si>
  <si>
    <t>DNA damage and photosynthetic performance in the Antarctic terrestrial alga Prasiola crispa ssp antarctica (Chlorophyta) under manipulated UV-B radiation</t>
  </si>
  <si>
    <t>JOURNAL OF PHYCOLOGY</t>
  </si>
  <si>
    <t>Antarctica; chlorophyll; chlorophyll fluorescence; cyclobutyl pyrimidine dimers; DNA damage; photosynthesis; Prasiola crispa; terrestrial alga; thymine dimers; UV-B radiation; UV-B supplementation</t>
  </si>
  <si>
    <t>ULTRAVIOLET-RADIATION; THYMINE DIMERS; MARINE DIATOM; AMINO-ACIDS; HIGH LIGHT; GROWTH; DEPTH; PHYTOPLANKTON; SENSITIVITY; MACROALGAE</t>
  </si>
  <si>
    <t>The effect of reduced, natural ambient, and enhanced UV-B radiation (UVBR) on photosynthesis and DNA damage in the Antarctic terrestrial alga Prasiola crispa ssp. antarctica (Kutzing) Knebel was investigated in two field experiments. Samples of P. crispa were collected underneath snow cover and exposed outside to reduced and natural UVBR in the austral spring. In a second experiment at the end of the austral summer, samples were exposed to ambient and enhanced UVBR. PSII efficiency, net photosynthetic rate (NP), dark respiration rate (DR), UV-absorbing pigments, and cyclobutyl pyrimidine dimer (CPD) formation were measured during the experiments. In October 1998, a spring midday maximum of 2.0 W .m(-2) of UVBR did not significantly affect effective quantum yield (DeltaF/F-m'), and a reduction in the ratio of variable to maximal fluorescence (F-v/F-m) in the late afternoon was transient. Exposure to natural ambient UVBR in October increased CPD values significantly. Midday maxima of UVBR during the experiments in October and January were comparable, but Setlow-DNA-weighted UVBR was more than 50% lower in January than in October. In January, 0.5 W .m(-2) additional UVBR during 10 h did not have a negative effect on DeltaF/F-m'. The reduction in F-v/F-m was not significant. NP and DR were not affected by supplementation of UVBR. Although photosynthetic activity remained largely unaffected by UVBR treatment, DNA damage was shown to be a sensitive parameter to monitor UVBR effects. Supplementation of additional UVBR did significantly enhance the amounts of CPD in exposed samples and repair took place overnight. It is concluded that PSII and whole-chain photosynthesis of P. crispa is well adapted to ambient and enhanced levels of UVBR but that CPD formation is more sensitive to UVBR than to photosynthesis.</t>
  </si>
  <si>
    <t>Netherlands Inst Ecol, Ctr Estuarine &amp; Coastal Ecol, NL-4400 AC Yerseke, Netherlands; Univ Groningen, Dept Marine Biol, NL-9750 AA Haren, Netherlands</t>
  </si>
  <si>
    <t>Royal Netherlands Academy of Arts &amp; Sciences; Netherlands Institute of Ecology (NIOO-KNAW); University of Groningen</t>
  </si>
  <si>
    <t>Netherlands Inst Ecol, Ctr Estuarine &amp; Coastal Ecol, POB 140, NL-4400 AC Yerseke, Netherlands.</t>
  </si>
  <si>
    <t>lud@ccmo.nioo.knaw.nl</t>
  </si>
  <si>
    <t>Buma, Anita GJ/E-8372-2015; Huiskes, Ad/C-3252-2011</t>
  </si>
  <si>
    <t>van de Poll, Willem/0000-0003-4095-4338; Lud, Daniela/0000-0003-2306-5416</t>
  </si>
  <si>
    <t>0022-3646</t>
  </si>
  <si>
    <t>1529-8817</t>
  </si>
  <si>
    <t>J PHYCOL</t>
  </si>
  <si>
    <t>J. Phycol.</t>
  </si>
  <si>
    <t>10.1046/j.1529-8817.2001.037004459.x</t>
  </si>
  <si>
    <t>467EX</t>
  </si>
  <si>
    <t>WOS:000170690400003</t>
  </si>
  <si>
    <t>Nadeau, TL; Milbrandt, EC; Castenholz, RW</t>
  </si>
  <si>
    <t>Evolutionary relationships of cultivated Antarctic oscillatorians (Cyanobacteria)</t>
  </si>
  <si>
    <t>16S rDNA; Antarctica; oscillatorian; polar cyanobacteria; psychrophile; psychrotolerance</t>
  </si>
  <si>
    <t>FRESH-WATER ECOSYSTEMS; PHYLOGENETIC-RELATIONSHIPS; MICROBIAL DIVERSITY; SEQUENCE-ANALYSIS; MAT; PHOTOSYNTHESIS; ENVIRONMENT; STRAINS; ISLAND; PONDS</t>
  </si>
  <si>
    <t>The evolutionary relationships of cultivated psychrophilic and psychrotolerant polar oscillatorians were examined, based on small subunit rDNA sequences. Psychrophilic oscillatorians from the Antarctic were affiliated in one well-supported clade, which also includes two Arctic strains. Two of the Antarctic psychrophiles contain an 11-nucleotide insertion that is identical to, and previously only described in, an Arctic oscillatorian. The psychrotolerant phenotype, conversely, has arisen multiple times in the cyanobacterial lineage, and psychrotolerant strains are sometimes most closely related to organisms of temperate latitudes. These findings support the hypothesis that oscillatorians in both polar regions originated from more temperate species. Furthermore, morphological designations of these filamentous cyanobacteria often do not have phylogenetic significance.</t>
  </si>
  <si>
    <t>Univ Oregon, Dept Biol, Eugene, OR 97403 USA</t>
  </si>
  <si>
    <t>University of Oregon</t>
  </si>
  <si>
    <t>Nadeau, TL (corresponding author), US EPA, Off Wetlands Oceans &amp; Watersheds 4502F, 1200 Penn Ave NW, Washington, DC 20460 USA.</t>
  </si>
  <si>
    <t>Milbrandt, Eric/AAH-4690-2019</t>
  </si>
  <si>
    <t>Milbrandt, Eric/0000-0003-1998-7055</t>
  </si>
  <si>
    <t>BLACKWELL SCIENCE INC</t>
  </si>
  <si>
    <t>MALDEN</t>
  </si>
  <si>
    <t>350 MAIN ST, MALDEN, MA 02148 USA</t>
  </si>
  <si>
    <t>10.1046/j.1529-8817.2001.037004650.x</t>
  </si>
  <si>
    <t>WOS:000170690400021</t>
  </si>
  <si>
    <t>Woodd-Walker, RS; Kingston, KS; Gallienne, CP</t>
  </si>
  <si>
    <t>Using neural networks to predict surface zooplankton biomass along a 50°N to 50°S transect of the Atlantic</t>
  </si>
  <si>
    <t>OPTICAL PLANKTON COUNTER; COPEPOD EGG-PRODUCTION; VERTICAL MIGRATION; ABUNDANCE; OCEAN; PHYTOPLANKTON; STOCK; FLUX; SEA; TEMPERATURE</t>
  </si>
  <si>
    <t>Four Atlantic transects between the UK and the Falkland Islands were carried out during spring and autumn as part of the Atlantic Meridional Transect (AMT) programme. These 50 degreesN to 50 degreesS transects cross several ocean regions. An optical plankton counter (OPC-1L) sampled continuously along the transects from the ship's uncontaminated seawater supply, giving a surface distribution of zooplankton abundance and size. Measurements of underway fluorescence-derived chlorophyll, sea surface temperature and salinity were also taken from the uncontaminated seawater supply. The relationship between zooplankton biomass and these variables was investigated using multiple linear regression and neural network techniques. In the analysis, loge-transformed biomass was used to reduce the influence of extreme values. Two transects were used to develop the models, and two to test the generalization capabilities of the models. Multiple linear regression could explain up to 55% of the observed variation in the transformed biovolume, and demonstrated the association of hydrographic variables and diel migration within the surface zooplankton community. Neural networks, starting with the same set of variables, were able to explain up to 78% of the variability, showing an increased performance over the multivariate analysis. An optimized model accounted for 77% of the variance in the original data. However, it showed greater generalization capabilities (R-2 = 0.47) when applied to new data sets than either the original neural network model (R-2 = 0.31) or the multiple linear regression model (R-2 = 0.34). This study highlights the non-linear nature of the parameters' associations with the zooplankton biomass and their variability between oceanographic regions.</t>
  </si>
  <si>
    <t>Univ Plymouth, Inst Marine Studies, Plymouth PL4 8AA, Devon, England; Plymouth Marine Lab, Plymouth PL1 3DH, Devon, England</t>
  </si>
  <si>
    <t>University of Plymouth; Plymouth Marine Laboratory</t>
  </si>
  <si>
    <t>Woodd-Walker, RS (corresponding author), British Antarctic Survey, High Cross,Madingley Rd, Cambridge CB3 0ET, England.</t>
  </si>
  <si>
    <t>10.1093/plankt/23.8.875</t>
  </si>
  <si>
    <t>471BH</t>
  </si>
  <si>
    <t>WOS:000170906600009</t>
  </si>
  <si>
    <t>Davenport, J</t>
  </si>
  <si>
    <t>Meltwater effects on intertidal Antarctic limpets, Nacella concinna</t>
  </si>
  <si>
    <t>JOURNAL OF THE MARINE BIOLOGICAL ASSOCIATION OF THE UNITED KINGDOM</t>
  </si>
  <si>
    <t>ZONATION; STREBEL</t>
  </si>
  <si>
    <t>Responses of the Antarctic limpet Nacella concinna (Mollusca: Gastropoda) to meltwater exposure were studied at Adelaide Island (67 degrees 34'S 68 degrees 08'W). Limpets in crevices could be bathed in pure meltwater, though animals in large pools often avoided significant exposure to lowered salinity because of marked halocline formation. Small pools containing limpets showed extremely demanding osmotic environments with fluctuations between salinities of 3 and 30 psu being recorded within 1-2 min because of alternating meltwater and wave action. Analysis of haemolymph osmolarities in animals taken from the field demonstrated significant falls in osmolality (to 600-800 mOsm kg(-1)) compared with control animals living in seawater (1000 mOsm kg(-1)). A few moribund animals had osmolarities &lt; 600 mOsm. kg(-1). Nacella concinna are stenohaline osmoconformers with a median lower lethal salinity (96 h) of 20.9 psu and a median lethal time for freshwater exposure of 2 h 18 min. A 1 h exposure to freshwater caused a 14% increase in body volume and a 27% loss of body fluid ions. Nacella concinna responds behaviourally to meltwater by short-term, ineffective, clamp down of the shell, retraction of the head, cephalic tentacles and mantle margin tentacles. On vertical surfaces limpets respond actively to freshwater exposure by rapid detachment; 50% of animals lose adhesion within 5 min. Consideration of tidal regimes at Adelaide Island suggests that an individual intertidal limpet has a risk of being exposed to severe meltwater exposure about once per year.</t>
  </si>
  <si>
    <t>Univ Marine Biol Stn, Millport KA28 0EG, Isle Cumbrae, Scotland</t>
  </si>
  <si>
    <t>Davenport, J (corresponding author), Univ Coll Cork, Dept Zool &amp; Anim Ecol, Lee Maltings,Prospect Row, Cork, Ireland.</t>
  </si>
  <si>
    <t>0025-3154</t>
  </si>
  <si>
    <t>J MAR BIOL ASSOC UK</t>
  </si>
  <si>
    <t>J. Mar. Biol. Assoc. U.K.</t>
  </si>
  <si>
    <t>10.1017/S0025315401004313</t>
  </si>
  <si>
    <t>479MN</t>
  </si>
  <si>
    <t>WOS:000171408300010</t>
  </si>
  <si>
    <t>Knowles, S</t>
  </si>
  <si>
    <t>The coldest march: Scott's fatal Antarctic expedition.</t>
  </si>
  <si>
    <t>LIBRARY JOURNAL</t>
  </si>
  <si>
    <t>BOWKER MAGAZINE GROUP CAHNERS MAGAZINE DIVISION</t>
  </si>
  <si>
    <t>249 W 17TH ST, NEW YORK, NY 10011 USA</t>
  </si>
  <si>
    <t>0363-0277</t>
  </si>
  <si>
    <t>LIBR J</t>
  </si>
  <si>
    <t>Libr. J.</t>
  </si>
  <si>
    <t>Information Science &amp; Library Science</t>
  </si>
  <si>
    <t>463MR</t>
  </si>
  <si>
    <t>WOS:000170480400285</t>
  </si>
  <si>
    <t>Atkinson, A; Whitehouse, MJ</t>
  </si>
  <si>
    <t>Ammonium regeneration by Antarctic mesozooplankton: an allometric approach</t>
  </si>
  <si>
    <t>SOUTH-GEORGIA; EUPHAUSIA-SUPERBA; EXCRETION RATES; VERTICAL MIGRATION; BRANSFIELD STRAIT; BODY-SIZE; CHEMICAL-COMPOSITION; PHOSPHATE EXCRETION; NITROGEN-EXCRETION; CALANOID COPEPOD</t>
  </si>
  <si>
    <t>Given the importance of copepods in the Southern Ocean food web, there are few assessments of their N budgets or their role in regenerating N. In this study we measured elemental composition and ammonium-excretion rates of copepods and small euphausiids, and estimated the role of metazoans in recycling ammonium in the South Georgia region. Measurements were made during summer on animals ranging over about two orders of magnitude in body mass. A phytoplankton bloom extended throughout the study area, and high C and dry masses of late-stage copepodites suggested good recent feeding conditions. Excretion rates declined roughly exponentially during the similar to1 day incubations in filtered sea water. The patterns observed suggested that the onset of starvation rather than the stress of capture caused this. Allometric relationships between body mass in and excretion rate R were derived using the equation R = am(b). Large compilations of literature data produce a value of b (the body-mass scaling coefficient) of 0.7-0.8. However, in this study, b ranged from 0.57 (for C as the unit of body mass) to 0.71 for N as the unit of body mass. Such low values are also common to previous studies of feeding and excretion among Antarctic copepods. We suggest that this reflects peculiarities of polar environments, namely, lipid storage and diapause in the largest copepods. Previous studies have suggested that ammonium is a preferred N source for algae at South Georgia. Based on the monitoring of a region to the north-east of South Georgia and on zooplankton abundance and excretion rates from this study, we estimate that within the upper mixed layer the copepods and small euphausiids excrete at least one third of the ammonium potentially required by phytoplankton. Krill excretion in this area was measured in a previous study, and it appears that mesozooplankton and krill are together significant regenerators of N in parts of the South Georgia pelagic system.</t>
  </si>
  <si>
    <t>British Antarctic Survey, Nat Environm Res Council, Cambridge CB3 OET, England</t>
  </si>
  <si>
    <t>Atkinson, A (corresponding author), British Antarctic Survey, Nat Environm Res Council, High Cross,Madingley Rd, Cambridge CB3 OET, England.</t>
  </si>
  <si>
    <t>Atkinson, Angus/HOH-3417-2023; Whitehouse, Martin J/E-1425-2013</t>
  </si>
  <si>
    <t>468EB</t>
  </si>
  <si>
    <t>WOS:000170744200009</t>
  </si>
  <si>
    <t>Senofonte, O; Violante, N; D'Ilio, S; Caimi, S; Peri, A; Caroli, S</t>
  </si>
  <si>
    <t>Hair analysis and the early detection of imbalances in trace elements for members of expeditions in Antarctica</t>
  </si>
  <si>
    <t>MICROCHEMICAL JOURNAL</t>
  </si>
  <si>
    <t>hair analysis; trace elements; Antarctic expeditions; inductively coupled plasma atomic emission spectrometry; inductively coupled plasma mass spectrometry</t>
  </si>
  <si>
    <t>REFERENCE VALUES</t>
  </si>
  <si>
    <t>In the framework of the Human Biology and Medicine Project of the National Program for Research in Antarctica (Programma Nazionale di Ricerche in Antartide, PNRA) a study was undertaken to explore the suitability of trace element determination in human hair as a toot for the early detection of the impact of extreme environmental conditions on the health of members of the Italian and French expeditions. This study included three campaigns, namely, the 1995-1996 expedition to the Italian base of Terra Nova Bay, as well as the 1997-1998 and 1998-1999 expeditions to both the Italian base of Terra Nova Bay and the Italian-French base of Dome C. Sampling of hair of participants in the expeditions was carried out both prior to departure and at the end of the period spent at the bases. As regards storage, pre-treatment and analysis of hair samples they were performed in accordance with previously established procedures. Acid-assisted microwave digestion was adopted as the best approach for preparing solutions for subsequent analysis by inductively coupled plasma atomic emission spectrometry and inductively coupled plasma mass spectrometry. In the first part of this study, only the elements Ca, Cu, Fe, Mg and Zn were selected, while at a later stage it was decided to also include Co, Cr, Mn, Mo and Ni. Experimental results were subjected to basic statistical analysis to detect possible significant differences in element concentrations that occurred during the sojourn at the bases, with a view to identify possible remedial action to minimize adverse consequences. (C) 2001 Elsevier Science B.V. All rights reserved.</t>
  </si>
  <si>
    <t>Ist Super Sanita, I-00161 Rome, Italy; Naval Hosp, Ctr Psychol Care, I-00195 Rome, Italy</t>
  </si>
  <si>
    <t>Istituto Superiore di Sanita (ISS)</t>
  </si>
  <si>
    <t>Caroli, S (corresponding author), Ist Super Sanita, Viale Regina Elena 299, I-00161 Rome, Italy.</t>
  </si>
  <si>
    <t>Caimi, Stefano/HIR-3344-2022</t>
  </si>
  <si>
    <t>Caimi, Stefano/0000-0001-5338-4026</t>
  </si>
  <si>
    <t>0026-265X</t>
  </si>
  <si>
    <t>MICROCHEM J</t>
  </si>
  <si>
    <t>Microchem J.</t>
  </si>
  <si>
    <t>10.1016/S0026-265X(01)00091-1</t>
  </si>
  <si>
    <t>465HL</t>
  </si>
  <si>
    <t>WOS:000170583500008</t>
  </si>
  <si>
    <t>Robinson, CH</t>
  </si>
  <si>
    <t>Cold adaptation in Arctic and Antarctic fungi</t>
  </si>
  <si>
    <t>Arctic; Antarctic; fungi; psychrophile; psychrotroph; adaptation; survival</t>
  </si>
  <si>
    <t>LOW-TEMPERATURE; PSYCHROPHILIC FUNGUS; SNOW MOLD; ECTOMYCORRHIZAL HEBELOMA; MONOGRAPHELLA-NIVALIS; TYPHULA-ISHIKARIENSIS; ANTIFREEZE PROTEIN; GROWTH TEMPERATURE; SOIL ORGANISMS; AXENIC CULTURE</t>
  </si>
  <si>
    <t>Growth and activity at low temperatures and possible physiological and ecological mechanisms underlying survival of fungi isolated from the cold Arctic and Antarctic are reviewed here. Physiological mechanisms conferring cold tolerance in fungi are complex; they include increases in intracellular trehalose and polyol concentrations and unsaturated membrane lipids as well as secretion of antifreeze proteins and enzymes active at low temperatures. A combination of these mechanisms is necessary for the psychrotroph or psychrophile to function. Ecological mechanisms for survival might include cold avoidance; fungal spores may germinate annually in spring and summer, so avoiding the coldest months. Whether spores survive over winter or are dispersed from elsewhere is unknown. There are also few data on persistence of basidiomycete vs microfungal mycelia and on the relationship between low temperatures and the predominance of sterile mycelia in tundra soils. Acclimation of mycelia is a physiological adaptation to subzero temperatures; however, the extent to which this occurs in the natural environment is unclear. Melanin in dark septate hyphae, which predominate in polar soils, could protect hyphae from extreme temperatures and play a significant role in their persistence from year to year. (C) New Phytologist.</t>
  </si>
  <si>
    <t>Univ London, Univ London Kings Coll, Div Life Sci, London SE1 9NN, England</t>
  </si>
  <si>
    <t>University of London; King's College London</t>
  </si>
  <si>
    <t>Univ London, Univ London Kings Coll, Div Life Sci, Franklin Wilkins Bldg,150 Stamford St, London SE1 9NN, England.</t>
  </si>
  <si>
    <t>clare.robinson@kcl.ac.uk</t>
  </si>
  <si>
    <t>10.1046/j.1469-8137.2001.00177.x</t>
  </si>
  <si>
    <t>460RL</t>
  </si>
  <si>
    <t>WOS:000170322300005</t>
  </si>
  <si>
    <t>Gallagher, SJ; Smith, AJ; Jonasson, K; Wallace, MW; Holdgate, GR; Daniels, J; Taylor, D</t>
  </si>
  <si>
    <t>The Miocene palaeoenvironmental and palaeoceanographic evolution of the Gippsland Basin, Southeast Australia: a record of Southern Ocean change</t>
  </si>
  <si>
    <t>Australia; foraminifera; Gippsland Basin; Miocene; palaeoceanography; Southern Ocean</t>
  </si>
  <si>
    <t>PLANKTONIC FORAMINIFERAL BIOGEOGRAPHY; PALEOENVIRONMENTAL EVOLUTION; BENTHIC FORAMINIFERA; SOUTHWEST PACIFIC; LATROBE VALLEY; OTWAY BASIN; PALEOCEANOGRAPHY; SEA; TRANSITION; SUCCESSION</t>
  </si>
  <si>
    <t>The Gippsland Basin in southeastern Australia preserves up to 2.5 km thick Tertiary to Recent marine carbonate sediments included in the Seaspray Group. During the Neogene, the Seaspray Group carbonates of the Mackerel and Flounder petroleum fields lay at the shelfal to bathyal palaeoenvironmental transition, an ideal palaeoceanographic setting to study the Neogene history of events in the evolving Southern Ocean. Seismic, foraminiferal and facies analyses of the Miocene Seaspray Group sediments at the Mackerel-1 and Flounder-1 wells have revealed the following palaeoenvironmental history of the area. Relatively cool to temperate upwelling conditions prevailed in the area during the earliest Miocene. During this time, low energy, upper slope Globigerina ooze (calcareous mudstone) was deposited in the oxygen minimum zone. During the Early to lower Middle Miocene, upper slope marl was deposited in oligotrophic conditions. The presence of neritic subtropical foraminifera and abundant shallow and deep dwelling warm to cool-temperate plankton in the upper slope suggests that warm poorly stratified oceanic conditions prevailed in the region. This upper Early Miocene warm phase and Mid Miocene Climatic Optimum in Gippsland corresponds to a time when global ocean conditions were much warmer and less vertically and latitudinally stratified than at present. These oceanic conditions were associated with a reduced East Antarctic Ice Sheet (a higher sea level), a relatively weak Antarctic Circumpolar Current, and weak atmospheric and wind driven circulation. During the upper Middle Miocene to Late Miocene cool phase (after c. 14.5 Ma) strong upwelling and cooler oceanic conditions prevailed in the outer shelf to upper slope canyon facies in Gippsland. The occurrence of common deep dwelling plankton taxa in this interval suggests that regional oceanic conditions became more vertically stratified during this time. From 14.5 and 5 million years ago, the Middle to Late Miocene palaeoenvironmental change recorded in Seaspray Group sediments corresponds to global cooling and major Antarctic Ice Sheet expansion, when the world's oceans became more vertically and latitudinally stratified. From around 14.5 million years the transition from a warm 'Miocene Optimum' to cooler oceanic conditions was associated with a strengthened Antarctic Circumpolar Current and more intense wind driven atmospheric circulation in the Southern Ocean. (C) 2001 Elsevier Science B.V. All rights reserved.</t>
  </si>
  <si>
    <t>Univ Melbourne, Sch Earth Sci, Parkville, Vic 3010, Australia</t>
  </si>
  <si>
    <t>University of Melbourne</t>
  </si>
  <si>
    <t>Gallagher, SJ (corresponding author), Univ Melbourne, Sch Earth Sci, Parkville, Vic 3010, Australia.</t>
  </si>
  <si>
    <t>Gallagher, Stephen/AFL-9448-2022</t>
  </si>
  <si>
    <t>Gallagher, Stephen/0000-0002-5593-2740; Wallace, Malcolm/0000-0003-3188-6409</t>
  </si>
  <si>
    <t>10.1016/S0031-0182(01)00271-1</t>
  </si>
  <si>
    <t>466CX</t>
  </si>
  <si>
    <t>WOS:000170627700003</t>
  </si>
  <si>
    <t>Turco, E; Hilgen, FJ; Lourens, LJ; Shackleton, NJ; Zachariasse, WJ</t>
  </si>
  <si>
    <t>Punctuated evolution of global climate cooling during the late Middle to early Late Miocene: High-resolution planktonic foraminiferal and oxygen isotope records from the Mediterranean</t>
  </si>
  <si>
    <t>SAPROPEL FORMATION; NORTH-ATLANTIC; OLIGOCENE/MIOCENE BOUNDARY; ASTRONOMICAL CALIBRATION; ANTARCTIC GLACIATION; SEA; SECTION; OCEAN; PRODUCTIVITY; CIRCULATION</t>
  </si>
  <si>
    <t>High-resolution planktonic foraminiferal and oxygen isotope records are presented from a Mediterranean deep marine succession, dated astronomically between 12.12 and 9.78 Ma. Planktonic and benthic oxygen isotope records are punctuated by two episodes of delta O-18 increase, which have astronomical ages of 11.4 and 10.4 Ma and correspond to the Mi5 and Mi6 events of Miller et al. [1991a]. These ice growth events coincide with low-amplitude variations in the 1.2 Myr obliquity cycle and are accompanied by significant faunal changes in the Mediterranean, such as the arrival of neogloboquadrinids, the increase in abundance of the G. apertura-G. obliquus group, and the areal differentiation between N, atlantica and N. acostaensis. Short-term variations in the planktonic foraminiferal and oxygen isotope records correspond to dominantly precession-controlled sedimentary cycles. Features of the sapropel/grey marl layers indicate that the short-term astronomically controlled circum-Mediterranean climate changes remained basically the same over the last 12 Myr.</t>
  </si>
  <si>
    <t>Univ Utrecht, Fac Earth Sci, NL-3584 CD Utrecht, Netherlands; Univ Cambridge, Dept Earth Sci, Godwin Lab, Cambridge CB2 3EQ, England</t>
  </si>
  <si>
    <t>Utrecht University; University of Cambridge</t>
  </si>
  <si>
    <t>Turco, E (corresponding author), Univ Parma, Dept Earth Sci, I-43100 Parma, Italy.</t>
  </si>
  <si>
    <t>Turco, Elena/G-7748-2012</t>
  </si>
  <si>
    <t>Hilgen, Frits/0000-0002-5683-259X</t>
  </si>
  <si>
    <t>10.1029/2000PA000509</t>
  </si>
  <si>
    <t>454AR</t>
  </si>
  <si>
    <t>WOS:000169950700006</t>
  </si>
  <si>
    <t>Lüder, UH; Knoetzel, A; Wiencke, C</t>
  </si>
  <si>
    <t>Two forms of phycobilisomes in the Antarctic red macroalga Palmaria decipiens (Palmariales, Florideophyceae)</t>
  </si>
  <si>
    <t>PHYSIOLOGIA PLANTARUM</t>
  </si>
  <si>
    <t>MASTIGOCLADUS-LAMINOSUS PHYCOBILISOMES; R-PHYCOERYTHRIN; PORPHYRIDIUM-CRUENTUM; CORE SUBSTRUCTURE; PHOTOSYNTHETIC APPARATUS; CHROMOPHORE COMPOSITION; TRICYLINDRICAL CORE; B-PHYCOERYTHRIN; CENTRAL PART; PHYCOCYANIN</t>
  </si>
  <si>
    <t>The phycobilisomes (PBS), the light-harvesting antennae, from the endemic Antarctic red macroalga Palmaria decipiens were isolated on discontinuous sucrose gradients in two discrete bands and not in one as expected. To exclude methodical faults, we also isolated PBS from the temperate Palmaria palmata and the unicellular red algae Porphyridium cruentum and Rhodella violacea. In P. palmata the PBS were separated in two discrete bands, whereas the PBS from Porphyridium and Rhodella were found in one band. The double-banded PBS (PBSup and PBSlow) from P. decipiens were further characterized by absorption and fluorescence spectroscopy, native and SDS-PAGE as well as by negative staining. The phycobiliproteins RIII-phycoerythrin, RI-phycocyanin and allophycocyanin were identified and 3 gamma -subunits were described. The PBSup and PBSlow. showed no significant differences in their absorption spectra and phycobiliprotein ratios although the negative stained PBSlow were smaller. Differences were found in their low molecular mass subunit complexes, which are assumed to be r-phycocrythrin. The polypeptide pattern of the PBSup and PBSlow showed no differences in the molecular masses of their subunits and linker polypeptides, but in their percentage distribution. The results suggest that the PBSlow is a closer packed and PBSup a little more loosely aggregated hemiellipsiodal PBS form. We discuss the ecophysiological function of two PBS forms in P. decipiens and suggest advantages in the rapid acclimation to changes in environmental light conditions.</t>
  </si>
  <si>
    <t>Alfred Wegener Inst Polar &amp; Marine Res, D-27570 Bremerhaven, Germany; Univ Bremen, Inst Cell Biol Biochem &amp; Biotechnol, D-28334 Bremen, Germany</t>
  </si>
  <si>
    <t>Helmholtz Association; Alfred Wegener Institute, Helmholtz Centre for Polar &amp; Marine Research; University of Bremen</t>
  </si>
  <si>
    <t>ulueder@awi-bremerhaven.de</t>
  </si>
  <si>
    <t>0031-9317</t>
  </si>
  <si>
    <t>1399-3054</t>
  </si>
  <si>
    <t>PHYSIOL PLANTARUM</t>
  </si>
  <si>
    <t>Physiol. Plant.</t>
  </si>
  <si>
    <t>10.1034/j.1399-3054.2001.1120416.x</t>
  </si>
  <si>
    <t>457CT</t>
  </si>
  <si>
    <t>WOS:000170120100016</t>
  </si>
  <si>
    <t>Gutt, J</t>
  </si>
  <si>
    <t>On the direct impact of ice on marine benthic communities, a review</t>
  </si>
  <si>
    <t>SUBLITTORAL EPIFAUNAL COMMUNITIES; KING-GEORGE-ISLAND; CONTINENTAL-SHELF; SIGNY ISLAND; MCMURDO SOUND; WEDDELL-SEA; POPULATION-STRUCTURE; ANTARCTIC SHELF; EAST GREENLAND; SCORESBY SUND</t>
  </si>
  <si>
    <t>Ice has a significant impact on the polar and sub-polar benthos, but relationships between corresponding physical and biological processes are not yet sufficiently understood. Sea ice contributes to a vertical zonation in shallow waters, which also experience other important disturbances. Due to the length of the nonglaciated coastline, sea ice is of greater relevance in the north than in the south. Scouring by icebergs and ridged sea ice causes an increased diversity when different recolonisation stages coexist. Frequently scoured areas do not recover, especially in the Antarctic, due to slow growth rates of the fauna. Iceberg grounding in the Arctic is mainly restricted to the western Eurasian and northeastern American shelf, including Greenland. Around Antarctica, scouring is more evenly distributed. Glacier termini prevent sessile animals from settling in their proximity where only few motile species occur.</t>
  </si>
  <si>
    <t>Gutt, J (corresponding author), Alfred Wegener Inst Polar &amp; Marine Res, Columbusstr, D-27568 Bremerhaven, Germany.</t>
  </si>
  <si>
    <t>Langhamer, Olivia/J-3425-2012</t>
  </si>
  <si>
    <t>Gutt, Julian/0000-0003-3773-9370</t>
  </si>
  <si>
    <t>10.1007/s003000100262</t>
  </si>
  <si>
    <t>461EJ</t>
  </si>
  <si>
    <t>WOS:000170351700001</t>
  </si>
  <si>
    <t>Negoita, TG; Stefanic, G; Irimescu-Orzan, ME; Oprea, G; Palanciuc, V</t>
  </si>
  <si>
    <t>Chemical and biological characterization of soils from the Antarctic east coast</t>
  </si>
  <si>
    <t>In a study of pedogenesis, soil samples from five sites were taken along an almost 6,000-km-long zone of coast in the northeast Antarctic continent (between 70 degrees 46 'S-11 degrees 50 'E and 66 degrees 33 'S-93 degrees 01 'E). A poor microflora (bacteria, fungi and algae) was evidenced. Indicators of vital and enzymatic activities, as well as the Biological Synthetic Indicator, show the existence of certain potentials of mineralization and biosynthesis, capable of soil-forming processes, but the almost year-round frost and the scarcity of weathered rock accumulated in the small depressions under the stone shelter do not permit the humification of organic material.</t>
  </si>
  <si>
    <t>Romanian Polar Res Inst, Bucharest, Romania; Res Inst Cereals &amp; Ind Crops, Fundulea, Calarasi, Romania</t>
  </si>
  <si>
    <t>Romanian Polar Res Inst, CP 42-29,Sector 4D, Bucharest, Romania.</t>
  </si>
  <si>
    <t>negoita_antarctic@yahoo.com</t>
  </si>
  <si>
    <t>WOS:000170351700002</t>
  </si>
  <si>
    <t>Cerrano, C; Puce, S; Chiantore, M; Bavestrello, G; Cattaneo-Vietti, R</t>
  </si>
  <si>
    <t>The influence of the epizoic hydroid Hydractinia angusta on the recruitment of the Antarctic scallop Adamussium colbecki</t>
  </si>
  <si>
    <t>BIO-MINERALOGY; COMMUNITIES; CNIDARIA; POPULATION; SPONGES; SEA</t>
  </si>
  <si>
    <t>An experiment and field study were carried out in order to investigate the epibiotic relationship between the hydroid Hydractinia angusta Hartlaub, 1904 and its host, the Antarctic scallop Adamussium colbecki (Smith, 1902), as well as the effect of H. angusta on the recruitment of scallop larvae, since both use the shells of adult A. colbecki as substratum. Four kinds of substrata, with and without epibionts, were exposed to the natural environment at 33 rn depth. After 1 year, the analysis of substrata showed that: (1) the hydroid makes use of two substrate colonization strategies, depending on the presence/absence of other epibionts; (2) the settlement of A. colbecki larvae is strongly affected by substrate characteristics and by the presence of the hydroid. Hydroid colonies limit scallop recruitment on the upper valve of adults, where spats usually live for at least 3-5 years attached by means of byssus threads. In this way, the hydroid can affect A. colbecki life history in two ways: by defending, as is usually believed, adults from predators, as well as by limiting the recruitment of its own host.</t>
  </si>
  <si>
    <t>Cerrano, C (corresponding author), Univ Genoa, Dipartimento Studio Territorio &amp; Risorse, Corso Europa 26, I-16132 Genoa, Italy.</t>
  </si>
  <si>
    <t>Cerrano, Carlo/0000-0001-9580-5546; Chiantore, Mariachiara/0000-0002-5862-1470</t>
  </si>
  <si>
    <t>10.1007/s003000100254</t>
  </si>
  <si>
    <t>WOS:000170351700004</t>
  </si>
  <si>
    <t>Lüder, UH; Knoetzel, J; Wiencke, C</t>
  </si>
  <si>
    <t>Acclimation of photosynthesis and pigments to seasonally changing light conditions in the endemic Antarctic red macroalga Palmaria decipiens</t>
  </si>
  <si>
    <t>KING-GEORGE-ISLAND; LONG-TERM CULTURE; DESMARESTIA-MENZIESII; DAYLENGTHS; GROWTH; ALGAE; PHYCOBILIPROTEINS; PHOTOINHIBITION; PHYCOBILISOMES; PHAEOPHYCEAE</t>
  </si>
  <si>
    <t>The influence of seasonally fluctuating Antarctic daylengths on the photosynthetic apparatus of Palmaria decipiens was studied in culture experiments. Maximal photosynthetic activity (ETRmax) and maximal quantum yield (Fv/Fm), measured by in vivo chlorophyll fluorescence, and concentrations of pigments (phycobiliproteins and Chl a) were determined monthly. Fv/Fm remained constantly high between 0.62 and 0.67 during mid-autumn, winter and spring. ETRmax and pigment contents increased continuously in mid-autumn and winter and were highest in spring. A positive correlation between pigments and ETRmax was found. In summer, ETRmax, Fv/Fm and pigment levels decreased to their lowest values. P. decipiens acclimated by increasing phycobilisome (PBS) number and changing PBS structure, probably changing rod length and rod number. The data show that P. decipiens is efficiently adapted to the short period of favourable light conditions in the field. A photoperiodic control of pigment synthesis triggered by daylength is suggested.</t>
  </si>
  <si>
    <t>Alfred Wegener Inst Polar &amp; Marine Res, Handelshafen 12, D-27570 Bremerhaven, Germany; Univ Bremen, Inst Cell Biol Biochem &amp; Biotechnol, D-28334 Bremen, Germany</t>
  </si>
  <si>
    <t>Lüder, UH (corresponding author), Alfred Wegener Inst Polar &amp; Marine Res, Handelshafen 12, D-27570 Bremerhaven, Germany.</t>
  </si>
  <si>
    <t>10.1007/s003000100260</t>
  </si>
  <si>
    <t>WOS:000170351700007</t>
  </si>
  <si>
    <t>Storch, V; Bluhm, BA; Arntz, WE</t>
  </si>
  <si>
    <t>Microscopic anatomy and ultrastructure of the digestive system of three Antarctic shrimps (Crustacea: Decapoda: Caridea)</t>
  </si>
  <si>
    <t>EASTERN WEDDELL SEA; STOMACH; EUPHAUSIACEA; MORPHOLOGY; NATANTIA</t>
  </si>
  <si>
    <t>Mandibles and stomachs of three Antarctic shrimp species (Nematocarcinus lanceopes, Notocrangon antarcticus, and Chorismus antarcticus) were investigated by means of scanning electron microscopy. Transmission electron microscopy of the midgut glands was applied to find out the nutritional status of the animals, which contained a broad variety of food items in their stomachs. In contrast to the Antarctic krill, the three carideans possess a dual filter system; primary filters in the cardia and secondary filters in the pyloric chamber. Morphologically, the mandibles and stomachs of the three species vary considerably; however, their food items are similar. We conclude that stomach contents do not really reflect the different modes of life or habitat preferences of the investigated species.</t>
  </si>
  <si>
    <t>Alfred Wegener Inst Polar &amp; Marine Res, D-27515 Bremerhaven, Germany; Univ Heidelberg, Inst Zool, D-69120 Heidelberg, Germany</t>
  </si>
  <si>
    <t>Helmholtz Association; Alfred Wegener Institute, Helmholtz Centre for Polar &amp; Marine Research; Ruprecht Karls University Heidelberg</t>
  </si>
  <si>
    <t>Bluhm, BA (corresponding author), Alfred Wegener Inst Polar &amp; Marine Res, Columbustr, D-27515 Bremerhaven, Germany.</t>
  </si>
  <si>
    <t>Bluhm, Bodil/E-7165-2015</t>
  </si>
  <si>
    <t>Bluhm, Bodil/0000-0002-4584-7796</t>
  </si>
  <si>
    <t>10.1007/s003000100261</t>
  </si>
  <si>
    <t>WOS:000170351700008</t>
  </si>
  <si>
    <t>Gutt, J; Starmans, A</t>
  </si>
  <si>
    <t>Quantification of iceberg impact and benthic recolonisation patterns in the Weddell Sea (Antarctica)</t>
  </si>
  <si>
    <t>SIGNY ISLAND; BERING SEA; ICE-SCOUR; DISTURBANCE; COMMUNITIES; DIVERSITY; RECOVERY; GROWTH</t>
  </si>
  <si>
    <t>Video transects in the eastern Weddell Sea were used to classify the mega-epibenthos into stages of recolonisation after iceberg impact and unaffected fauna. Three site categories differing in bottom topography and concentration of grounded icebergs were analysed. At small iceberg banks and on a comparatively plain seabed, 52-60% of undisturbed seafloor was found, and below 20% at a large iceberg bank. The impact was calculated as a function of values for recently disturbed areas and an estimated recovery time. The results show that, statistically, the Antarctic benthos never reaches peak maturity and that iceberg scouring is among the five most significant disturbances that any large ecosystem on earth experiences.</t>
  </si>
  <si>
    <t>Gutt, Julian/0000-0003-3773-9370; Starmans, Andreas/0000-0001-8829-0054</t>
  </si>
  <si>
    <t>10.1007/s003000100263</t>
  </si>
  <si>
    <t>WOS:000170351700009</t>
  </si>
  <si>
    <t>Orejas, C; Gili, JM; López-González, PJ; Arntz, WE</t>
  </si>
  <si>
    <t>Feeding strategies and diet composition of four Antarctic cnidarian species</t>
  </si>
  <si>
    <t>GORGONIAN PARAMURICEA-CLAVATA; SCALLOP ADAMUSSIUM-COLBECKI; LIFE-HISTORY TRAITS; WEDDELL-SEA; BIOCHEMICAL-COMPOSITION; SUSPENSION FEEDERS; PARTICLE-FLUX; SOFT CORALS; ECOLOGY; SEASONALITY</t>
  </si>
  <si>
    <t>The diet of four species of Antarctic cnidarians, two hydroids and two anthozoans, was investigated. One hydroid, Tubularia ralphii, and one anthozoan, Anthomastus bathyproctus, seem to basically consume zooplankton whereas the other hydroid species, Oswaldella antarctica, has a diet mainly based on the fine fraction of seston. The last cnidarian investigated, the stoloniferan alcyonacean, Clavularia cf. frankliniana, feeds mainly on resuspended material. The wide range of diets of these Antarctic cnidarians indicates opportunistic behaviour by feeding on different sources and taking advantage of the available food sources. Data related to low C/N ratios in the sediment and high NO2 concentrations in areas with dense communities of benthic suspension feeders, along with data on capture rates, lead us to hypothesize that these organisms play an important role in the recycling processes of organic matter in Antarctic benthic ecosystems.</t>
  </si>
  <si>
    <t>Alfred Wegener Inst Polar &amp; Marine Res, D-27568 Bremerhaven, Germany; CSIC, Inst Ciencias Mar, E-08039 Barcelona, Spain; Univ Sevilla, Lab Biol Marina, Seville 4080, Spain</t>
  </si>
  <si>
    <t>Helmholtz Association; Alfred Wegener Institute, Helmholtz Centre for Polar &amp; Marine Research; Consejo Superior de Investigaciones Cientificas (CSIC); CSIC - Centro Mediterraneo de Investigaciones Marinas y Ambientales (CMIMA); CSIC - Instituto de Ciencias del Mar (ICM); University of Sevilla</t>
  </si>
  <si>
    <t>Orejas, C (corresponding author), Alfred Wegener Inst Polar &amp; Marine Res, Columbusstr, D-27568 Bremerhaven, Germany.</t>
  </si>
  <si>
    <t>Lopez-González, Pablo J./Y-6440-2018; Orejas, Covadonga/B-1644-2012</t>
  </si>
  <si>
    <t>Lopez-González, Pablo J./0000-0002-7348-6270; Orejas Saco del Valle, Covadonga/0000-0002-2580-1002</t>
  </si>
  <si>
    <t>10.1007/s003000100272</t>
  </si>
  <si>
    <t>WOS:000170351700010</t>
  </si>
  <si>
    <t>Miyazaki, T; Iwami, T; Yamauchi, M; Somiya, H</t>
  </si>
  <si>
    <t>Accessory corner cones as putative UV-sensitive photoreceptors in the retinas of seven adult nototheniid fishes</t>
  </si>
  <si>
    <t>TETRACHROMATIC COLOR-VISION; JUVENILE YELLOW PERCH; PAGOTHENIA-BORCHGREVINKI; VISUAL PIGMENTS; ULTRAVIOLET RECEPTORS; ANTARCTIC FISH; FLAVESCENS; CLONING; PREY</t>
  </si>
  <si>
    <t>We describe accessory corner cones contained in the retinas of seven species of Antarctic adult nototheniid fishes (Nototheniidae, Perciformes) and suggest, on the basis of morphology, that they are UV-sensitive photoreceptors. The potential significance of the presence of UV-sensitivity in Antarctic fish is that it might increase foraging efficiency by enhancing the contrast of important prey. Krill (Euphausia superba), for example, are probably silhouetted against UV-background space light during the Antarctic summer.</t>
  </si>
  <si>
    <t>Natl Inst Radiol Sci, Hitachinaka, Ibaraki 3111202, Japan; Tokyo Kasei Gakuin Univ, Machida, Tokyo 1940929, Japan; Natl Inst Radiol Sci, Chiba 2638555, Japan; Mie Univ, Tsu, Mie 5148507, Japan</t>
  </si>
  <si>
    <t>National Institutes for Quantum Science &amp; Technology; National Institutes for Quantum Science &amp; Technology; Mie University</t>
  </si>
  <si>
    <t>Miyazaki, T (corresponding author), Natl Inst Radiol Sci, 3609 Isozaki, Hitachinaka, Ibaraki 3111202, Japan.</t>
  </si>
  <si>
    <t>10.1007/s003000100278</t>
  </si>
  <si>
    <t>WOS:000170351700011</t>
  </si>
  <si>
    <t>Massom, RA; Eicken, H; Haas, C; Jeffries, MO; Drinkwater, MR; Sturm, M; Worby, AP; Wu, XR; Lytle, VI; Ushio, S; Morris, K; Reid, PA; Warren, SG; Allison, I</t>
  </si>
  <si>
    <t>Snow on Antarctic Sea ice</t>
  </si>
  <si>
    <t>REVIEWS OF GEOPHYSICS</t>
  </si>
  <si>
    <t>SATELLITE PASSIVE MICROWAVE; WESTERN WEDDELL-SEA; THICKNESS DISTRIBUTION; SOUTHERN-OCEAN; THERMAL-CONDUCTIVITY; DRAG COEFFICIENTS; PACK-ICE; STRUCTURAL CHARACTERISTICS; INTERANNUAL VARIABILITY; TEMPERATURE-GRADIENT</t>
  </si>
  <si>
    <t>Snow on Antarctic sea ice plays a complex and highly variable role in air-sea-ice interaction processes and the Earth's climate system. Using data collected mostly during, the past 10 years, this paper reviews the following topics: snow thickness and snow type and their geographical and seasonal variations; snow grain size, density, and salinity; frequency of occurrence of slush; thermal conductivity, snow surface temperature, and temperature gradients within snow; and the effect of snow thickness on albedo. Major findings include large regional and seasonal differences in snow properties and thicknesses; the consequences of thicker snow and thinner ice in the Antarctic relative to the Arctic (e.g., the importance of flooding and snow-ice formation); the potential impact of increasing snowfall resulting from global climate change; lower observed values of snow thermal conductivity than those typically used in models; periodic large-scale melt in winter; and the contrast in summer melt processes between the Arctic and the Antarctic. Both climate modeling and remote sensing would benefit by taking account of the differences between the two polar regions.</t>
  </si>
  <si>
    <t>Univ Tasmania, Antarctic Cooperat Res Ctr, Hobart, Tas 7001, Australia; Univ Alaska, Inst Geophys, Fairbanks, AK 99775 USA; Alfred Wegener Inst Polar &amp; Marine Res, D-27568 Bremerhaven, Germany; European Space Agcy, Estec, Oceans Sea Ice Unit, APP,FSO, NL-2200 AG Noordwijk, Netherlands; CALTECH, Jet Prop Lab, NASA, Pasadena, CA USA; USA, Cold Reg Res &amp; Engn Lab, Ft Wainwright, AK 99703 USA; Australian Antarctic Div, Kingston, Tas, Australia; Natl Inst Polar Res, Itabashi Ku, Tokyo 173, Japan; Univ Washington, Dept Atmospher Sci, Seattle, WA 98195 USA</t>
  </si>
  <si>
    <t>University of Tasmania; University of Alaska System; University of Alaska Fairbanks; Helmholtz Association; Alfred Wegener Institute, Helmholtz Centre for Polar &amp; Marine Research; European Space Agency; California Institute of Technology; National Aeronautics &amp; Space Administration (NASA); NASA Jet Propulsion Laboratory (JPL); United States Department of Defense; United States Army; U.S. Army Corps of Engineers; U.S. Army Engineer Research &amp; Development Center (ERDC); Cold Regions Research &amp; Engineering Laboratory (CRREL); Australian Antarctic Division; Research Organization of Information &amp; Systems (ROIS); National Institute of Polar Research (NIPR) - Japan; University of Washington; University of Washington Seattle</t>
  </si>
  <si>
    <t>Univ Tasmania, Antarctic Cooperat Res Ctr, GPO Box 252-80, Hobart, Tas 7001, Australia.</t>
  </si>
  <si>
    <t>R.Massom@utas.edu.au</t>
  </si>
  <si>
    <t>Worby, Anthony P/A-2373-2012; Haas, Christian/L-5279-2016; Eicken, Hajo/M-6901-2016; Allison, Ian F/I-4477-2015; Drinkwater, Mark/C-2478-2011</t>
  </si>
  <si>
    <t>Haas, Christian/0000-0002-7674-3500; Allison, Ian F/0000-0001-9599-0251; Massom, Robert/0000-0003-1533-5084; Drinkwater, Mark/0000-0002-9250-3806</t>
  </si>
  <si>
    <t>8755-1209</t>
  </si>
  <si>
    <t>1944-9208</t>
  </si>
  <si>
    <t>REV GEOPHYS</t>
  </si>
  <si>
    <t>Rev. Geophys.</t>
  </si>
  <si>
    <t>10.1029/2000RG000085</t>
  </si>
  <si>
    <t>458WM</t>
  </si>
  <si>
    <t>WOS:000170218500005</t>
  </si>
  <si>
    <t>Xu, BQ; Yao, TD</t>
  </si>
  <si>
    <t>Dasuopu ice core record of atmospheric methane over the past 2000 years</t>
  </si>
  <si>
    <t>Dasuopu ice core; air in ice core bubbles; CH4 concentration</t>
  </si>
  <si>
    <t>The concentrations of CH4 in the atmosphere over the past 2000 years have been deduced by extracting and analyzing the air in bubbles embedded in the Dasuopu ice core, Qinghai-Tibetan Plateau. Upon analyzing 57 ice core samples we found that the concentration of CH4 200 years ago and earlier was 0.85 mu mol . mol(-1) or about 40% of present atmospheric CH4 levels over Qinghai-Tibetan Plateau. A rapid and significant increase of atmospheric CH4 started about 200-250 a ago. For a given age before 19th century, the Dasuopu CH4 concentrations were about 15%-20% higher than those in Antarctic and Greenland references. It was also found that the Dasuopu CH4 concentrations changed more frequently, and its fluctuations could reflect the temperature change sensitively.</t>
  </si>
  <si>
    <t>Chinese Acad Sci, LIGG, Lab Ice Core &amp; Cold Reg Environm, Lanzhou 730000, Peoples R China</t>
  </si>
  <si>
    <t>Chinese Academy of Sciences</t>
  </si>
  <si>
    <t>Xu, BQ (corresponding author), Chinese Acad Sci, LIGG, Lab Ice Core &amp; Cold Reg Environm, Lanzhou 730000, Peoples R China.</t>
  </si>
  <si>
    <t>SCIENCE PRESS</t>
  </si>
  <si>
    <t>10.1007/BF02907198</t>
  </si>
  <si>
    <t>488ZD</t>
  </si>
  <si>
    <t>WOS:000171966200003</t>
  </si>
  <si>
    <t>Maia, M; Hémond, C; Gente, P</t>
  </si>
  <si>
    <t>Contrasted interactions between plume, upper mantle, and lithosphere:: Foundation chain case</t>
  </si>
  <si>
    <t>hotspot; ridge; interaction; lithosphere; upper mantle; dynamic of lithosphere and mantle-general; dynamics, convection currents and mantle plumes; midocean ridge processes</t>
  </si>
  <si>
    <t>PACIFIC-ANTARCTIC RIDGE; MIGRATING MIDOCEAN RIDGES; MARQUESAS FRACTURE-ZONE; PB ISOTOPE EVIDENCE; SEAMOUNT CHAIN; EASTER MICROPLATE; HOTSPOT INTERACTIONS; SOUTH-ATLANTIC; PLATE; VOLCANISM</t>
  </si>
  <si>
    <t>The Foundation Seamounts are a volcanic chain formed during the last 21 m.y. by the action of a hot spot, presently located near the axis of the Pacific-Antarctic Ridge. The western part of the chain is formed by volcanoes with ages ranging from 21 to 16 m.y., spatially distributed along two parallel lines roughly 200 km apart. The shape and distribution of the edifices are strongly suggestive of an emplacement along preexisting fissures or fractures, resulting from lithospheric deformation during the major kinematic reorganization of 25 m.y. Their chemical and isotopic composition becomes enriched toward young volcano ages, resulting from the progressive contamination of the upper mantle by the arrival of a plume pulse. The eastern part of the chain is formed by volcanoes younger than 5 m.y., also distributed along two subparallel lines. The distance between these two lines diminishes toward the Pacific-Antarctic Ridge axis. A geoid high is located very near the Pacific-Antarctic Ridge axis, over the volcanoes of the north line, which lies in the prolongation of the older Foundation Seamounts, and possibly marks the location of the Foundation hot spot. Both the geoid anomaly and the morphology of the edifices show that the north line is the main locus of the volcanism. The southern line was probably formed on top of the flexural arch resulting from the emplacement of the north line. The chemical and isotopic compositions of the basalts reveal a growing influence of the ridge on the off-axis plume magmatism. The pattern is coherent with a mixing between two sources, occurring when the two melting zones merge and overlap.</t>
  </si>
  <si>
    <t>Univ Bretagne Occidentale, Inst Univ Europeen Mer, CNRS, UMR 6538, F-29280 Plouzane, France</t>
  </si>
  <si>
    <t>Universite de Bretagne Occidentale; Institut Universitaire Europeen de la Mer (IUEM); Centre National de la Recherche Scientifique (CNRS); CNRS - National Institute for Earth Sciences &amp; Astronomy (INSU)</t>
  </si>
  <si>
    <t>Maia, M (corresponding author), Univ Bretagne Occidentale, Inst Univ Europeen Mer, CNRS, UMR 6538, Pl Nicolas Copernic, F-29280 Plouzane, France.</t>
  </si>
  <si>
    <t>Maia, Marcia/A-7076-2010</t>
  </si>
  <si>
    <t>JUL 31</t>
  </si>
  <si>
    <t>2000GC000117</t>
  </si>
  <si>
    <t>458PB</t>
  </si>
  <si>
    <t>WOS:000170201800002</t>
  </si>
  <si>
    <t>Severinghaus, JP; Grachev, A; Battle, M</t>
  </si>
  <si>
    <t>Thermal fractionation of air in polar firn by seasonal temperature gradients</t>
  </si>
  <si>
    <t>thermal diffusion; firn air; isotope fractionation; gas isotopes; paleothermometer; thermal diffusion; sensitivity; troposphere-constituent transport and chemistry; global change-atmosphere; glaciology; paleoclimatology</t>
  </si>
  <si>
    <t>ABRUPT CLIMATE-CHANGE; AGE-DIFFERENCES; ICE; O-2; DIFFUSION; MOVEMENT; RATIO; GASES; N-2; END</t>
  </si>
  <si>
    <t>Air withdrawn from the top 5-15 m of the polar snowpack (fim) shows anomalous enrichment of heavy gases during summer, including inert gases. Following earlier work, we ascribe this to thermal diffusion, the tendency of a gas mixture to separate in a temperature gradient, with heavier molecules migrating toward colder regions. Summer warmth creates a temperature gradient in the top few meters of the firn due to the thermal inertia of the underlying firn and causes gas fractionation by thermal diffusion. Here we explore and quantify this process further in order to (1) correct for bias caused by thermal diffusion in firn air and ice core air isotope records, (2) help calibrate a new technique for measuring temperature change in ice core gas records based on thermal diffusion [Severinghaus et al., 1998], and (3) address whether air in polar snow convects during winter and, if so, whether it creates a rectification of seasonality that could bias the ice core record. We sampled air at 2-m-depth intervals from the top 15 m of the firn at two Antarctic sites, Siple Dome and South Pole, including a winter sampling at the pole. We analyzed (15)N/(14)N, (40)Ar/(36)Ar, (40)Ar/(38)Ar, (18)O/(16)O of O(2), O(2)/N(2), (84)Kr/(36)Ar, and (132)Xe/(36)Ar. The results show the expected pattern of fractionation and match a gas diffusion model based on first principles to within 30%. Although absolute values of thermal diffusion sensitivities cannot be determined from the data with precision, relative values of different gas pairs may. At Siple Dome, delta (40)Ar/4 is 66 +/- 2% as sensitive to thermal diffusion as delta (15)N, in agreement with laboratory calibration; delta (18)O/2 is 83 +/- 3%, and delta (84)Kr/48 is 33 +/- 3% as sensitive as delta (15)N. The corresponding figures for summer South Pole are 64 +/- 2%, 81 +/- 3%, and 34 +/- 3%. Accounting for atmospheric change, the figure for deltaO(2)/N(2)/4 is 90 +/- 3% at Siple Dome. Winter South Pole shows a strong depletion of heavy gases as expected. However, the data do not fit the model well in the deeper part of the profile and yield a systematic drift with depth in relative thermal diffusion sensitivities (except for Kr, constant at 34 +/- 4%), suggesting the action of some other process that is not currently understood. No evidence for wintertime convection or a rectifier effect is seen.</t>
  </si>
  <si>
    <t>Univ Calif San Diego, Scripps Inst Oceanog, La Jolla, CA 92093 USA; Bowdoin Coll, Dept Phys &amp; Astron, Brunswick, ME 04011 USA</t>
  </si>
  <si>
    <t>University of California System; University of California San Diego; Scripps Institution of Oceanography; Bowdoin College</t>
  </si>
  <si>
    <t>Severinghaus, JP (corresponding author), Univ Calif San Diego, Scripps Inst Oceanog, La Jolla, CA 92093 USA.</t>
  </si>
  <si>
    <t>jseveringhaus@ucsd.edu; mbattle@bowdoin.edu</t>
  </si>
  <si>
    <t>Grachev, Alexei/H-9702-2016; Grachev, Alexei/AAG-2843-2021</t>
  </si>
  <si>
    <t>2000GC000146</t>
  </si>
  <si>
    <t>10.1029/2000GC000146</t>
  </si>
  <si>
    <t>WOS:000170201800001</t>
  </si>
  <si>
    <t>Robertson, A; Overpeck, J; Rind, D; Mosley-Thompson, E; Zielinski, G; Lean, J; Koch, D; Penner, J; Tegen, I; Healy, R</t>
  </si>
  <si>
    <t>Hypothesized climate forcing time series for the last 500 years</t>
  </si>
  <si>
    <t>GLOBAL 3-DIMENSIONAL MODEL; ANTARCTIC ICE; EXPLOSIVE VOLCANISM; SOLAR IRRADIANCE; ATMOSPHERIC CO2; ERUPTION; AEROSOL; RECORD; VARIABILITY; INDEX</t>
  </si>
  <si>
    <t>A new compilation of annually resolved time series of atmospheric trace gas concentrations, solar irradiance, tropospheric aerosol optical depth, and stratospheric (volcanic) aerosol optical depth is presented for use in climate modeling studies of the period 1500 to 1999 A.D. Atmospheric CO2 CH4, and N2O concentrations over this period are well established on the basis of fossil air trapped in ice cores and instrumental measurements over the last few decades. Estimates of solar irradiance, ranging between 1364.2 and 1368.2 W/m(2), are presented using calibrated historical observations of the Sun back to 1610, along with cosmogenic isotope variations extending back to 1500. Tropospheric aerosol distributions are calculated by scaling the modern distribution of sulfate and carbonaceous aerosol optical depths back to 1860 using reconstructed regional CO2 emissions; prior to 1860 the anthropogenic tropospheric aerosol optical depths are assumed to be zero. Finally, the first continuous, annually dated record of zonally averaged stratospheric (volcanic) optical depths back to 1500 is constructed using sulfate flux data from multiple ice cores from both Greenland and Antarctica, in conjunction with historical and instrumental (satellite and pyrheliometric) observations. The climate forcings generated here are currently being used as input to a suite of transient (time dependent) paleoclimate model simulations of the past 500 years. These forcings are also available for comparison with instrumental and proxy paleoclimate data of the same period.</t>
  </si>
  <si>
    <t>Univ Colorado, Inst Arctic &amp; Alpine Res, Boulder, CO 80303 USA; Univ Colorado, Dept Geol Sci, Boulder, CO 80303 USA; Univ Arizona, Inst Study Planet Earth, Tucson, AZ 85721 USA; Univ Arizona, Dept Geosci, Tucson, AZ 85721 USA; NASA, Goddard Inst Space Studies, New York, NY 10025 USA; Ohio State Univ, Byrd Polar Res Ctr, Columbus, OH 43210 USA; Univ Maine, Inst Quaternary Studies, Climate Studies Ctr, Orono, ME 04469 USA; USN, Res Lab, EO Hulburt Ctr Space Res, Washington, DC 20375 USA; Univ Michigan, Dept Atmospher Ocean &amp; Space Sci, Ann Arbor, MI 48109 USA</t>
  </si>
  <si>
    <t>University of Colorado System; University of Colorado Boulder; University of Colorado System; University of Colorado Boulder; University of Arizona; University of Arizona; National Aeronautics &amp; Space Administration (NASA); NASA Goddard Space Flight Center; Goddard Institute for Space Studies; University System of Ohio; Ohio State University; University of Maine System; University of Maine Orono; United States Department of Defense; United States Navy; Naval Research Laboratory; University of Michigan System; University of Michigan</t>
  </si>
  <si>
    <t>Univ Colorado, Inst Arctic &amp; Alpine Res, 1560 30th St, Boulder, CO 80303 USA.</t>
  </si>
  <si>
    <t>Healy, Richard/J-9214-2015; Mosley-Thompson, Ellen S/Z-2100-2018; Tegen, Ina/W-4299-2018</t>
  </si>
  <si>
    <t>Healy, Richard/0000-0002-5098-8921; Lean, Judith/0000-0002-0087-9639; Tegen, Ina/0000-0003-3700-3232</t>
  </si>
  <si>
    <t>JUL 27</t>
  </si>
  <si>
    <t>D14</t>
  </si>
  <si>
    <t>10.1029/2000JD900469</t>
  </si>
  <si>
    <t>456YE</t>
  </si>
  <si>
    <t>WOS:000170109700004</t>
  </si>
  <si>
    <t>McNamara, JP; Hillier, IH</t>
  </si>
  <si>
    <t>Mechanism of the hydrolysis of halogen nitrates in small water clusters studied by electronic structure methods</t>
  </si>
  <si>
    <t>JOURNAL OF PHYSICAL CHEMISTRY A</t>
  </si>
  <si>
    <t>DENSITY-FUNCTIONAL THEORY; CHLORINE NITRATE; AB-INITIO; SULFURIC-ACID; OZONE DEPLETION; ANTARCTIC OZONE; NITRIC-ACID; DINITROGEN PENTOXIDE; BROMINE NITRATE; ICE SURFACES</t>
  </si>
  <si>
    <t>High-level electronic structure calculations have been used to study the mechanism of the hydrolysis of bromine nitrate in neutral water clusters containing one to eight solvating water molecules. The calculations clarify some of the uncertainties in the mechanism of halogen nitrate hydrolysis on PSC ice aerosols. The free energy barrier decreases from 42.4 kcal mol(-1) (single water) to essentially zero when catalyzed by six water molecules. As the size of the water cluster is increased, BrONO2 shows increasing ionization along the Br-ONO2 bond, consistent with the proposed predissociation in which the electrophilicity of the bromine atom is enhanced, thus making it more susceptible to nucleophilic attack from a surface water molecule. A species akin to the experimentally proposed intermediate, H2OBr+NO3-, is found to be stable in clusters containing both three and six water molecules, where the ion pair is separated by single and double layers of water molecules, respectively. For a cluster containing six water molecules, which has a structure related to that of ordinary hexagonal ice, BrONO2 is hydrolyzed to yield HOBr and ionized nitric acid (H3O+NO3-. The calculations thus predict an ionic mechanism for the hydrolysis of halogen nitrates on PSC ice aerosols.</t>
  </si>
  <si>
    <t>Univ Manchester, Dept Chem, Manchester M13 9PL, Lancs, England</t>
  </si>
  <si>
    <t>University of Manchester</t>
  </si>
  <si>
    <t>Hillier, IH (corresponding author), Univ Manchester, Dept Chem, Oxford Rd, Manchester M13 9PL, Lancs, England.</t>
  </si>
  <si>
    <t>1089-5639</t>
  </si>
  <si>
    <t>J PHYS CHEM A</t>
  </si>
  <si>
    <t>J. Phys. Chem. A</t>
  </si>
  <si>
    <t>JUL 26</t>
  </si>
  <si>
    <t>10.1021/jp0100304</t>
  </si>
  <si>
    <t>Chemistry, Physical; Physics, Atomic, Molecular &amp; Chemical</t>
  </si>
  <si>
    <t>Chemistry; Physics</t>
  </si>
  <si>
    <t>457TH</t>
  </si>
  <si>
    <t>WOS:000170152600008</t>
  </si>
  <si>
    <t>Horne, RB; Freeman, MP</t>
  </si>
  <si>
    <t>A new code for electrostatic simulation by numerical integration of the Vlasov and Ampere equations using MacCormack's method</t>
  </si>
  <si>
    <t>JOURNAL OF COMPUTATIONAL PHYSICS</t>
  </si>
  <si>
    <t>VELOCITY SPACE; PLASMA</t>
  </si>
  <si>
    <t>We present a new simulation code for electrostatic waves in one dimension which uses the Vlasov equation to integrate the distribution function and Ampere's equation to integrate the electric field forward in time. Previous Vlasov codes used the Vlasov and Poisson equations. Using Ampere's equation has two advantages. First, boundary conditions do not have to be set on the electric field. Second, it forms a logical basis for an electromagnetic code since the time integration of the electric and magnetic fields is treated in a similar way. MacCormack's method is used to integrate the Vlasov equation. which was found to be easy to implement and reliable. A stability analysis is presented for the MacCormack scheme applied to the Vlasov equation. Conditions for stability are more stringent than the simple Courant-Friedrich's-Lewy (CFL) conditions for the spatial and velocity grids. We provide a simple linear function which when combined with the CFL conditions should ensure stability. Simulation results for Landau damping are in excellent agreement with numerical solutions of the linear dispersion relation for a wide range of wavelengths. The code is also able to retain phase memory as demonstrated by the recurrence effect and reproduce the effects of particle trapping. The use of Ampere's equation enables standing and traveling waves to be produced depending on whether the current is zero or non-zero, respectively. In simulations where the initial current is non-zero and Maxwell's equations are satisfied initially, additional standing waves may be set up, which could be important when the coupling of wave fields from a transmitter to a plasma is considered. (C) 2001 Academic Press.</t>
  </si>
  <si>
    <t>Horne, RB (corresponding author), British Antarctic Survey, NERC, Madingley Rd, Cambridge CB3 0ET, England.</t>
  </si>
  <si>
    <t>Horne, Richard B/U-3764-2019; Freeman, Mervyn/E-5687-2019</t>
  </si>
  <si>
    <t>Horne, Richard B/0000-0002-0412-6407; Freeman, Mervyn/0000-0002-8653-8279</t>
  </si>
  <si>
    <t>0021-9991</t>
  </si>
  <si>
    <t>J COMPUT PHYS</t>
  </si>
  <si>
    <t>J. Comput. Phys.</t>
  </si>
  <si>
    <t>JUL 20</t>
  </si>
  <si>
    <t>10.1006/jcph.2001.6781</t>
  </si>
  <si>
    <t>Computer Science, Interdisciplinary Applications; Physics, Mathematical</t>
  </si>
  <si>
    <t>Computer Science; Physics</t>
  </si>
  <si>
    <t>457ME</t>
  </si>
  <si>
    <t>WOS:000170140500008</t>
  </si>
  <si>
    <t>Boelen, P; Veldhuis, MJW; Buma, AGJ</t>
  </si>
  <si>
    <t>Accumulation and removal of UVBR-induced DNA damage in marine tropical plankton subjected to mixed and simulated non-mixed conditions</t>
  </si>
  <si>
    <t>cyclobutane pyrimidine dimers; DNA damage; DNA repair; Caribbean Sea; marine bacteria; mixing; phytoplankton; ultraviolet-B radiation, UVBR</t>
  </si>
  <si>
    <t>ULTRAVIOLET-B RADIATION; ANTARCTIC PHYTOPLANKTON; BACTERIOPLANKTON; WATERS; COMMUNITIES; CELLS; INHIBITION; ATLANTIC; SURFACE; OCEAN</t>
  </si>
  <si>
    <t>Accumulation and removal of UVBR (ultraviolet-B radiation: 280 to 315 nm)-induced DNA damage (cyclobutane pyrimidine dimers; CPDs) were studied in 2 size fractions (0.2 to 0.8 and 0.8 to 10 mum) of natural populations of tropical marine bacterio- and phytoplankton off Curacao, Netherlands Antilles. Plankton was either directly sampled from the surface layer (mixed situation), or incubated in UVR-transparent bags at 2 water depths (simulated non-mixed situation). A DNA dosimeter was used to measure biologically effective UVBR doses as well as attenuation of biologically effective radiation in the surface layer. A significant difference in CPD level between the 2 plankton size fractions could not be measured. In the mixed as well as in the non-mixed situation, DNA damage was accumulated between 09:00 and 14:00 h irrespective of the variability in incident UVBR. Surface layer samplings on consecutive days showed a clear diel pattern of increase and decrease, indicating that, in the field, DNA damage is repaired or diluted during the afternoon or at night. No significant repair of DNA damage could be measured in samples that were incubated during the afternoon at 0.2 or 10 m depth. The UVBR sensitivity of surface-incubated plankton was expressed as the ratio between damage induced in the cells to damage induced in (unshielded and unrepaired) bare DNA. In both plankton size classes this ratio fluctuated around 0.32, In conclusion, the results show that plankton cells present in the clear waters off Curacao undergo UVBR stress despite the fact that they are subjected to vertical mixing. No significant difference in CPD levels between 2 size fractions of plankton could be measured, suggesting that in this plankton population other aspects, e.g. repair capacities or cell morphology, were more important than cell size.</t>
  </si>
  <si>
    <t>Univ Groningen, Dept Marine Biol, NL-9750 AA Haren, Netherlands; NIOZ, Dept Biol Oceanog, NL-1790 AB Den Burg, Netherlands</t>
  </si>
  <si>
    <t>University of Groningen; Utrecht University; Royal Netherlands Institute for Sea Research (NIOZ)</t>
  </si>
  <si>
    <t>Boelen, P (corresponding author), Univ Groningen, Dept Marine Biol, POB 14, NL-9750 AA Haren, Netherlands.</t>
  </si>
  <si>
    <t>Boelen, Peter/0000-0001-7023-4986</t>
  </si>
  <si>
    <t>JUL 18</t>
  </si>
  <si>
    <t>10.3354/ame024265</t>
  </si>
  <si>
    <t>458QR</t>
  </si>
  <si>
    <t>WOS:000170206500005</t>
  </si>
  <si>
    <t>Jourdain, B; Legrand, M</t>
  </si>
  <si>
    <t>Seasonal variations of atmospheric dimethylsulfide, dimethylsulfoxide, sulfur dioxide, methanesulfonate, and non-sea-salt sulfate aerosols at Dumont d'Urville (coastal Antarctica) (December 1998 to July 1999)</t>
  </si>
  <si>
    <t>MARINE BOUNDARY-LAYER; PALMER STATION; CHEMISTRY; SNOW; EMISSIONS; ISLAND; OCEAN; DMSO</t>
  </si>
  <si>
    <t>A study of oxidation products of dimethylsulfide (DMS) was conducted at Dumont d'Urville (DDU), coastal Antarctica, from summer 1998/1999 to midwinter 1999. The study involved multiple daily measurements of DMS and dimethylsulfoxide (DMSO) using a gas chromatograph at the site. Methanesulfonate (MSA), and non-sea-salt sulfate (nssSO(4)(2-)) aerosols were studied on a daily basis. A few studies of size-segregated aerosol chemistry indicate that both MSA and nssSO(4)(2-) are present in a dominant submicronic mode at 0.3 mum. MSA and nssSO(4)(2-). levels exhibit a well-marked seasonal cycle characterized by summer maxima (0.6 +/- 0.3 and 3.8 +/- 1.4 nmol m(-3) of MSA and nssSO(4)(2-) in January 1999, respectively) and winter minima (0.01 +/- 0.004 and 0.21 +/- 0.22 nmol m(-3) of MSA and nssSO(4)(2-) in July, respectively). In contrast, weak seasonal cycles of DMS (from 13.1 +/- 6.1 nmol m(-3) in January to 3.9 +/- 1.3 nmol m(-3) in July) and DMSO (from 0.15 +/- 0.1 nmol m(-3) in January to 0.06 +/- 0.01 nmol m(-3) in July) are observed there. A few SO2 samplings indicate a seasonal cycle with 2.8 +/- 0.9 nmol m(-3) in January and levels dose to the detection limit (0.25 nmol m(-3)) in winter. The major finding of this study is the presence of large amounts of DMS and DMSO in winter, whereas MSA levels are strongly decreased. These winter DMS levels may be due to small DMS emissions from open water present in sea ice located offshore DDU and/or advection from further north in conjunction with a long lifetime of DMS. The hypothesis of an heterogeneous uptake of DMSO onto aerosols followed by a rapid oxidation into MSA could explain the seasonal DMSO and MSA changes. With respect to the summer situation, in winter, DMSO levels of a tenths of nmol m(-3) would result from transport of air masses located further north associated with a lifetime of DMSO of 2 days (instead of a few hours in summer) and a local production of DMSO from DMS oxidation. Such a winter DMSO production in spite of decreased DMS/OH addition pathway (50 times slower than in summer) results from decreased heterogeneous uptake (30 times slower) partly driven by reduction of available aerosol surface by a factor of 15. Finally, when katabatic regime took place bringing air from inland Antarctica, it is shown that the free troposphere above the Antarctic plateau in summer is enriched in DMSO and MSA with respect to DMS and nssSO(4)(2-), respectively. That supports the assumption of a different chemistry of DMS taking place in the foe troposphere over Antarctica due to dry air conditions and absence of high aerosol levels.</t>
  </si>
  <si>
    <t>CNRS, Lab Glaciol &amp; Geophys Environm, F-38402 St Martin Dheres, France</t>
  </si>
  <si>
    <t>Centre National de la Recherche Scientifique (CNRS)</t>
  </si>
  <si>
    <t>Jourdain, B (corresponding author), CNRS, Lab Glaciol &amp; Geophys Environm, 54 Rue Moliere,BP 96, F-38402 St Martin Dheres, France.</t>
  </si>
  <si>
    <t>Legrand, Michel/AAU-4678-2020</t>
  </si>
  <si>
    <t>JUL 16</t>
  </si>
  <si>
    <t>D13</t>
  </si>
  <si>
    <t>10.1029/2000JD900841</t>
  </si>
  <si>
    <t>453EQ</t>
  </si>
  <si>
    <t>WOS:000169903900016</t>
  </si>
  <si>
    <t>Legrand, M; Sciare, J; Jourdain, B; Genthon, C</t>
  </si>
  <si>
    <t>Subdaily variations of atmospheric dimethylsulfide, dimethylsulfoxide, methanesulfonate, and non-sea-salt sulfate aerosols in the atmospheric boundary layer at Dumont d'Urville (coastal Antarctica) during summer</t>
  </si>
  <si>
    <t>SEASONAL-VARIATION; AMSTERDAM ISLAND; PALMER STATION; VARIABILITY; CHEMISTRY; SNOW; AIR</t>
  </si>
  <si>
    <t>A study of atmospheric dimethylsulfide (DMS) and dimethylsulfoxide (DMSO) was conducted on a subdaily basis during austral summer months (450 samples from mid-December 1998 to late-February 1999) at Dumont d'Urville, a coastal Antarctic site (66 degrees 40'S, 140 degrees 01'E), In addition, subdaily aerosol samplings were analyzed for particulate methanesulfonate (MSA) and non-sea-salt sulfate (nssSO(4)(2-)). During these summer months, DMS and DMSO levels fluctuated from 34 to 2923 pptv (mean of 290 +/- 305 pptv) and from 0.4 to 57 pptv (mean of 3.4 +/- 4.4 pptv), respectively. Mean MSA and non-sea-salt sulfate (nssSO(4)(2-)) mixing ratios were close to 12.5 +/- 8.2 pptv and 68.1 +/- 35.0 pptv, respectively. In two occasions characterized by stable wind conditions and intense insolation, it was possible to examine the local photochemistry of DMS. During these events, DMSO levels tracked quite closely the solar flux and particulate MSA levels were enhanced during the afternoons. Photochemical calculations reproduce quite well observed diurnal variations of DMSO when we assume an 0.8 yield of DMSO from the DMS/OH addition channel and an heterogeneous loss rate of DMSO proportional to the OH radical concentration: 0.5x10(-10) [OH] + 5.5x10(-5) (in s(-1)). If correct, on a 24 hour average the heterogeneous loss of DMSO is estimated to be 2 times faster than the DMSO/OH gas phase oxidation in these regions. Very low levels of DMSO were found in the aerosol phase (less than 0.01 pptv), suggesting that an efficient oxidation of DMSO subsequently takes place onto the aerosol surface. The observed increase of MSA levels which takes place quasi-immediately after the noon DMSO maximum suggests that an heterogeneous oxidation of DMSO onto aerosols represents a more efficient pathway producing MSA compared to the gas phase DMSO/OH pathway. Since only a third of the total amount of DMSO lost can be explained by the observed enhancement of MSA levels, further studies investigating other species including methanesulfinic acid and dimethylsulfone (DMSO2) formed during the oxidation of DMS are here needed. When katabatic winds took place, bringing continental Antarctic air at the site, enrichments of DMSO relative to DMS and MSA relative to non-sea-salt sulfate levels were observed. That is in agreement with the hypothesis of an accumulation of DMSO and probably of gaseous MSA in the free Antarctic troposphere in relation to a less efficient heterogeneous loss rate of DMSO.</t>
  </si>
  <si>
    <t>Lab Glaciol &amp; Geophys Environm, Ctr Natl Rech Sci, F-38402 St Martin Dheres, France; CEA, Lab Sci Climat &amp; Environm, F-91191 Gif Sur Yvette, France</t>
  </si>
  <si>
    <t>Centre National de la Recherche Scientifique (CNRS); Universite Paris Saclay; CEA; Centre National de la Recherche Scientifique (CNRS)</t>
  </si>
  <si>
    <t>Lab Glaciol &amp; Geophys Environm, Ctr Natl Rech Sci, 54 Rue Moliere,Bo 96, F-38402 St Martin Dheres, France.</t>
  </si>
  <si>
    <t>mimi@glaciog.ujf-grenoble.fr</t>
  </si>
  <si>
    <t>sciare, jean/A-9529-2008; Legrand, Michel/AAU-4678-2020</t>
  </si>
  <si>
    <t>sciare, jean/0000-0002-9908-6718</t>
  </si>
  <si>
    <t>10.1029/2000JD900840</t>
  </si>
  <si>
    <t>WOS:000169903900017</t>
  </si>
  <si>
    <t>Bodeker, GE; Connor, BJ; Liley, JB; Matthews, WA</t>
  </si>
  <si>
    <t>The global mass of ozone: 1978-1998</t>
  </si>
  <si>
    <t>SOLAR-CYCLE; MIDLATITUDES; DEPLETION</t>
  </si>
  <si>
    <t>Global measurements of total column ozone from five inter-compared satellite-based instruments were used to calculate the daily global mass of ozone from November 1978 to December 1998. Missing data in polar darkness were estimated by interpolation across thc polar caps. Global ozone mass and ozone mass totalled over 30 degrees latitude zones were examined for the mean annual cycle, its evolution over the 20 year period, the impacts of volcanic eruptions and hemispheric differences in these impacts. Ozone mass for the globe or within a latitude zone is more suitable than mean column amount (e.g. in Dobson Units) because it is invariant under transport within zones and is a direct measure of exchange between zones. Furthermore, the relative contribution of impacts at different latitudes to global changes in ozone can be more easily quantified. While global ozone mass is significantly perturbed by high latitude wintertime ozone depletion, the impact of the Mt. Pinatubo eruption on northern midlatitude ozone mass was larger than any single Antarctic ozone hole event.</t>
  </si>
  <si>
    <t>Natl Inst Water &amp; Atmospher Res, Lauder, Central Otago, New Zealand</t>
  </si>
  <si>
    <t>Bodeker, GE (corresponding author), Natl Inst Water &amp; Atmospher Res, Private Bag 50061, Omakau 9182, Central Otago, New Zealand.</t>
  </si>
  <si>
    <t>Liley, Ben/0000-0002-8844-7928; Bodeker, Gregory/0000-0003-1094-5852</t>
  </si>
  <si>
    <t>JUL 15</t>
  </si>
  <si>
    <t>10.1029/2000GL012472</t>
  </si>
  <si>
    <t>452GK</t>
  </si>
  <si>
    <t>WOS:000169849500038</t>
  </si>
  <si>
    <t>Crandall, FB</t>
  </si>
  <si>
    <t>A cladistic view of the Monostilifera (Hoplonemertea) with interwoven rhynchocoel musculature: a preliminary assessment</t>
  </si>
  <si>
    <t>HYDROBIOLOGIA</t>
  </si>
  <si>
    <t>5th International Conference on Nemertean Biology</t>
  </si>
  <si>
    <t>JUN 12-16, 2000</t>
  </si>
  <si>
    <t>ALCALA HENARES, SPAIN</t>
  </si>
  <si>
    <t>phylogeny; cladistic analysis; Hoplonemertea; Plectonemertidae; Cratenemertidae</t>
  </si>
  <si>
    <t>PHYLUM NEMERTEA; GENUS; ENOPLA; CRATENEMERTIDAE; CLASSIFICATION; SYSTEMATICS</t>
  </si>
  <si>
    <t>A cladistic analysis was performed on 21 previously described and putative new genera comprising all hoplonemerteans having both monostilifery and interwoven rhynchocoel musculature. Traditional taxonomic methods have placed these genera into two existing families and one putative new family, but there has been active debate as to relationships within and between these groups. Sixty-one characters were employed. The intent of this study was to further elucidate relationships within and between these groups but without addressing their possible positions in the higher taxonomic scheme. The results suggest that the family Plectonemertidae (sensu Moore &amp; Gibson, 1988) and the family Cratenemertidae are paraphyletic as is a new Antarctic form which appears to constitute a monotypic family. The results further suggest that Plectonemertes represents a monotypic family, the five 'Group 2' terrestrial genera (Acteonemertes, Argonemertes, Antiponemertes, Leptonemertes and Katechonemertes) form a distinct family, and the freshwater genera Campbellonemertes and Potamonemertes represent either a single distinct family or two monotypic families. The family Cratenemertidae is seen as containing three subfamilies. The analysis also indicates that these groups, in which 10 of the 21 genera are highly habitat-adapted, exhibit no greater homoplasy than is evident in the animal and plant kingdoms generally. Formal designation and naming of the new family group entities suggested here must await publication of original descriptions or redescriptions of the underlying species and genera.</t>
  </si>
  <si>
    <t>Natl Museum Nat Hist, Dept Systemat Biol, Washington, DC 20560 USA; Turkey Run Res Inst, Mclean, VA 22101 USA</t>
  </si>
  <si>
    <t>Smithsonian Institution; Smithsonian National Museum of Natural History</t>
  </si>
  <si>
    <t>Crandall, FB (corresponding author), Natl Museum Nat Hist, Dept Systemat Biol, Washington, DC 20560 USA.</t>
  </si>
  <si>
    <t>VAN GODEWIJCKSTRAAT 30, 3311 GZ DORDRECHT, NETHERLANDS</t>
  </si>
  <si>
    <t>0018-8158</t>
  </si>
  <si>
    <t>Hydrobiologia</t>
  </si>
  <si>
    <t>10.1023/A:1013031900458</t>
  </si>
  <si>
    <t>511CR</t>
  </si>
  <si>
    <t>WOS:000173247500010</t>
  </si>
  <si>
    <t>Zängl, G; Hoinka, KP</t>
  </si>
  <si>
    <t>The tropopause in the polar regions</t>
  </si>
  <si>
    <t>JOURNAL OF CLIMATE</t>
  </si>
  <si>
    <t>STRATOSPHERE-TROPOSPHERE EXCHANGE; TROPICAL TROPOPAUSE; GLOBAL TROPOPAUSE; ANNUAL CYCLE; MASS; IMPACT; FOLDS</t>
  </si>
  <si>
    <t>The polar and subpolar tropopause in both hemispheres is investigated using the ECMWF Reanalysis (ERA) data from 1979 to 1993 and radiosonde data from 1989 to 1993. Both the thermal and the dynamical criteria are applied to each dataset. The tropopauses derived from the radiosonde data are used to validate the ERA-derived tropopauses and to investigate the sharpness of the tropopause. The validation reveals that the ERA data are well suited for the determination of the tropopause. A comparison between the thermal and the dynamical tropopause shows a very good agreement except for polar winter, and there is clear evidence that the dynamical criterion is more appropriate in winter. The results show that the annual cycle of the polar tropopause can be classified into three different patterns. A single wave with a tropopause pressure maximum in winter and a minimum in summer is typical for the subpolar parts of eastern Siberia and North America. A double wave with pressure maxima in spring and autumn and minima in summer and winter is found above northern Europe, western Siberia, and generally at high Arctic latitudes. Finally, Antarctica exhibits a reversed single wave with a pressure maximum in summer and a minimum in winter Tropopause temperatures are generally highest in summer and lowest in winter, but the amplitude of their annual cycles shows distinct differences. It is lowest in those regions where a single pressure maximum in winter is present and largest in the Antarctic. A comparison between the tropopause pressure and the temperatures in 500 and 100 hPa reveals that the tropopause pressure is closely related to the temperature difference between 500 and 100 hPa. A large temperature difference corresponds to a low tropopause pressure and a small temperature difference to a high tropopause pressure. The sharpness of the tropopause, that is, the change in vertical temperature gradient across the tropopause, is found to be highest in summer and lowest in winter. Its annual cycle and its regional differences are primarily determined by the mean temperature gradient above the tropopause because it varies much more strongly than the gradient below the tropopause.</t>
  </si>
  <si>
    <t>Univ Munich, Inst Meteorol, D-80333 Munich, Germany; DLR Oberpfaffenhofen, Inst Phys Atmosphare, Wesseling, Germany</t>
  </si>
  <si>
    <t>University of Munich; Helmholtz Association; German Aerospace Centre (DLR)</t>
  </si>
  <si>
    <t>Zängl, G (corresponding author), Univ Munich, Inst Meteorol, Theresienstr 37, D-80333 Munich, Germany.</t>
  </si>
  <si>
    <t>0894-8755</t>
  </si>
  <si>
    <t>J CLIMATE</t>
  </si>
  <si>
    <t>J. Clim.</t>
  </si>
  <si>
    <t>10.1175/1520-0442(2001)014&lt;3117:TTITPR&gt;2.0.CO;2</t>
  </si>
  <si>
    <t>456CP</t>
  </si>
  <si>
    <t>WOS:000170065800004</t>
  </si>
  <si>
    <t>Robertson, RF; El-Haj, AJ; Clarke, A; Taylor, EW</t>
  </si>
  <si>
    <t>Effects of temperature on specific dynamic action and protein synthesis rates in the Baltic isopod crustacean, Saduria entomon</t>
  </si>
  <si>
    <t>Saduria entomon; isopoda; crustacea; protein synthesis; oxygen uptake; ammonia excretion; specific dynamic action; temperature</t>
  </si>
  <si>
    <t>METABOLIC-RATE; ACTION SDA; HYPOXIA; RESPIRATION; BEHAVIOR; TISSUES</t>
  </si>
  <si>
    <t>The mean rate of oxygen consumption in fasted Saduria entomon increased between 4 degreesC and 13 degreesC with Q(10) of 2.33. After feeding, rates of oxygen uptake increased significantly by two- to threefold at both temperatures. However, the magnitude of the 'specific dynamic action of food' (SDA) response varied with temperature. At 4 degreesC, the magnitude was 45.5 +/- 4.2 mu mol, while at 13 degreesC, magnitude was significantly higher at 62.8 +/- 6.5 mu mol. In contrast, the duration of the response did not vary significantly with temperature in Saduria, with the consequence that the duration at 4 degreesC was considerably shorter than that measured at this temperature from an Antarctic isopod in a parallel study, and the duration at 13 degreesC was considerably longer than published values for temperate crustaceans at similar temperatures. Fasted rates of ammonia excretion increased with a Q(10) of 4.74 between 4 degreesC and 13 degreesC. The increase after feeding was sevenfold at 4 degreesC but only 2.6-fold at. 13 degreesC. Fasted O/N ratios for Saduria at 4 degreesC were about twice those at 13 degreesC. Fasted whole body protein synthesis rates (k(S)) increased with a Q(10) of 2.61 between 4 degreesC and 13 degreesC. Whole body k(S), measured at the peak of the SDA response, showed significant 2.7-and 1.9-fold increases at 4 degreesC and 13 degreesC, respectively, compared to fasted values, although the factorial rise at 130C was reduced compared to 4 degreesC. Alterations in k(S) rates after feeding at both temperatures resulted from significant increases in RNA activity (K-RNA) alone. However, the increase in k(S) between 4 degreesC and 13 degreesC was accompanied by increases in both K-RNA, and RNA/protein ratio, a measure of the capacity for protein synthesis (C-S). (C) 2001 Elsevier Science B.V. All rights reserved.</t>
  </si>
  <si>
    <t>Univ Birmingham, Sch Biosci, Birmingham B15 2TT, W Midlands, England; Univ Keele, Postgrad Med Sch, Stoke On Trent ST4 7QB, Staffs, England; British Antarctic Survey, Cambridge CB3 0ET, England</t>
  </si>
  <si>
    <t>University of Birmingham; Keele University; UK Research &amp; Innovation (UKRI); Natural Environment Research Council (NERC); NERC British Antarctic Survey</t>
  </si>
  <si>
    <t>Univ Birmingham, Sch Biosci, Birmingham B15 2TT, W Midlands, England.</t>
  </si>
  <si>
    <t>e.w.taylor@bham.ac.uk</t>
  </si>
  <si>
    <t>10.1016/S0022-0981(01)00286-6</t>
  </si>
  <si>
    <t>449VY</t>
  </si>
  <si>
    <t>WOS:000169708900008</t>
  </si>
  <si>
    <t>Barth, JA; Cowles, TJ; Pierce, SD</t>
  </si>
  <si>
    <t>Mesoscale physical and bio-optical structure of the Antarctic Polar Front near 170°W during austral spring</t>
  </si>
  <si>
    <t>SOUTHERN-OCEAN; SURFACE CIRCULATION; CIRCUMPOLAR CURRENT; CALIFORNIA CURRENT; VARIABILITY; ACCURACY; DEPTHS</t>
  </si>
  <si>
    <t>As part of the U.S. Joint Global Ocean Flux Study Southern Ocean program, high-resolution surveys of the Antarctic Polar Front near 170 degreesW were conducted during October-November 1997 with a towed undulating system equipped with conductivity-temperature-depth and bio-optical sensors. Transects along 170 degreesW and two successive mapping surveys revealed zonal bands with sharp meridional gradients in east-west velocity. The Polar Front (PF) was characterized by a sea surface temperature drop from 1.6 degrees to -1.6 degreesC between 60.35 degrees and 61.10 degreesS, with eastward velocities of 0.4-0.5 m s(-1) in the core of the PF jet. Deep mixed layers (&gt; 200 m) were found within and north of the PF, but mixed layers shoaled to 100-125 m south of the PF to the edge of loose ice at 62.3 degreesS. Highest mixed layer chlorophyll concentrations (0.35 mg m(-3)) in late October along 170 degreesW were to the south of the PF and associated with cold, fresh water. A large meander of the PF was observed with an alongfront wavelength of 175 km, a cross-front peak-to-peak amplitude of 100 km, and an eastward phase propagation of 0.05-0.08 m s(-1), all of which are consistent with its formation via hydrodynamic instability of the PF jet. Highest-phytoplankton biomass was located just poleward of the center of the PF jet. A high-chlorophyll (up to 1.1 mg m(-3)) 50 by 50 km region was found downstream of the cyclonic bend associated with the meander. A survey 7.5 days later revealed growth of this high biomass region so that chlorophyll was in excess of 0.8 mg m(-3) over an 80 km cross front by (at least) 80 km alongfront region. High biomass was observed to grow in place with respect to the meander rather than being displaced far downstream as would be expected from advection. This pattern is consistent with meander-driven upwelling of nutrients and/or trace metals, which in turn stimulates phytoplankton growth. Detailed cross sections of the PF reveal narrow 10-20 km wide bands or filaments of phytoplankton biomass that have temperature/salinity properties distinct from surrounding water and are coherent for at least 120 km alongfront.</t>
  </si>
  <si>
    <t>Oregon State Univ, Coll Ocean &amp; Atmospher Sci, Corvallis, OR 97331 USA</t>
  </si>
  <si>
    <t>Oregon State University</t>
  </si>
  <si>
    <t>Barth, JA (corresponding author), Oregon State Univ, Coll Ocean &amp; Atmospher Sci, 104 Ocean Adm Bldg, Corvallis, OR 97331 USA.</t>
  </si>
  <si>
    <t>barth@oce.orst.edu</t>
  </si>
  <si>
    <t>C7</t>
  </si>
  <si>
    <t>10.1029/1999JC000194</t>
  </si>
  <si>
    <t>452QW</t>
  </si>
  <si>
    <t>WOS:000169871100005</t>
  </si>
  <si>
    <t>Landry, MR; Brown, SL; Selph, KE; Abbott, MR; Letelier, RM; Christensen, S; Bidigare, RR; Casciotti, K</t>
  </si>
  <si>
    <t>Initiation of the spring phytoplankton increase in the Antarctic Polar Front Zone at 170°W</t>
  </si>
  <si>
    <t>SUB-ARCTIC PACIFIC; CENTRAL EQUATORIAL PACIFIC; IRON-LIMITED ECOSYSTEM; SOUTHERN-OCEAN; GRAZING IMPACT; GROWTH; CHLOROPHYLL; PRODUCTIVITY; PARTICLES; DYNAMICS</t>
  </si>
  <si>
    <t>During austral summer 1997, satellite imagery revealed enhanced chlorophyll associated with the Antarctic Polar Front at 170 degreesW. Phytoplankton growth conditions during the early stages of the spring increase were investigated on the Antarctic Environment and Southern Ocean Process Study Survey I cruise using flow cytometry (FCM) and microscopy to characterize community biomass, composition and biological stratification and dilution experiments to estimate growth and grazing rates, Physical and biological measures showed a general shoaling of mixed layer depth from similar to 200 to &lt; 100 m from late October to early November. Plankton assemblages on the southern side of the frontal jet (similar to0 degreesC waters) differed from those on the northern side (similar to2 degreesC) in enhanced relative importance of larger (&gt; 20 mum) cells, greater contributions of diatoms and ciliates, and a twofold higher ratio of protistan grazers to photoautotrophs. Phytoplankton community growth rates from incubations at 10 and 23% of surface incident light showed good agreement between high performance liquid chromatography estimates of chlorophyll a (Chl a) (0.20 d(-1)) and FCM cell-based (0.21 d(-1))results. Fucoxanthin-based estimates for diatoms were 0.2-1 d(-1). Mean estimates of microzooplankton grazing from the three phytoplankton measures were 0.16, 0.12, and 0.11 d(-1), respectively. Heterotrophs typically consumed 40-100% of their body carbon per day and thus presumably grew at rates similar to phytoplankton. The low net rates of Chl a increase in shipboard bottle incubations (0.04 d(-1)) were consistent with the slow downstream accumulation of phytoplankton biomass (0.03 d(-1)) as measured with instrumented Lagrangian drifters through the month of November. Both were slightly less than the net rate estimates from SeaSoar surveys (0.05 d(-1)) because of the effects of pigment photoadaptation (bleaching) during this time of increasing light level and water column stratification.</t>
  </si>
  <si>
    <t>Univ Hawaii Manoa, Dept Oceanog, Honolulu, HI 96822 USA; Oregon State Univ, Coll Ocean &amp; Atmospher Sci, Corvallis, OR 97331 USA; Princeton Univ, Dept Geosci, Princeton, NJ 08544 USA</t>
  </si>
  <si>
    <t>University of Hawaii System; University of Hawaii Manoa; Oregon State University; Princeton University</t>
  </si>
  <si>
    <t>Univ Hawaii Manoa, Dept Oceanog, 1000 Pope Rd, Honolulu, HI 96822 USA.</t>
  </si>
  <si>
    <t>landry@soest.hawaii.edu</t>
  </si>
  <si>
    <t>Landry, Michael/HGF-1043-2022; Letelier, Ricardo/A-6953-2009</t>
  </si>
  <si>
    <t>Letelier, Ricardo/0000-0003-3376-4026; Selph, Karen/0000-0001-7281-4706; Casciotti, Karen/0000-0002-5286-7795</t>
  </si>
  <si>
    <t>10.1029/1999JC000187</t>
  </si>
  <si>
    <t>WOS:000169871100006</t>
  </si>
  <si>
    <t>Brown, SL; Landry, MR</t>
  </si>
  <si>
    <t>Mesoscale variability in biological community structure and biomass in the Antarctic Polar Front region at 170°W during austral spring 1997</t>
  </si>
  <si>
    <t>MARGINAL ICE-ZONE; NORTHWESTERN WEDDELL SEA; SOUTHERN-OCEAN; PIGMENT CONCENTRATIONS; PHYTOPLANKTON BLOOM; EDGE; ASSEMBLAGES; NUTRIENTS; ABUNDANCE; BACTERIA</t>
  </si>
  <si>
    <t>The influence of the Antarctic Polar Front (PF) on microbial biomass and community structure was investigated during late spring, October - November 1997, as part of the U.S. Joint Global Ocean Flux Study Antarctic Environment and Southern Ocean Process Study. In conjunction with SeaSoar sampling, samples for flow cytometry and epifluorescence image analysis were collected across the PF region along a 170 degreesW transect and in two maps involving repeated crossings of the front. Phytoplankton abundance and size estimates clearly showed the influence of the front, with smaller, more numerous cells to the north and larger, less abundant cells to the south. Autotrophic biomass varied substantially across the region, ranging from 8 to 102 mug C L-1 Biomass accumulation, dominated by Phaeocystis spp. and Chaetoceros spp., was particularly apparent in discrete areas downstream of a frontal meander feature. Grazer biomass, ranging from 1 to 31 mug C L-1, was usually much less than 50% of phytoplankton biomass and did not show any spatial trends with regard to the PF. The distribution of heterotrophic bacteria was dearly influenced by the PF, with larger, less abundant cells south of the frontal zone. The developing assemblage of phytoplankton in the frontal meander was biologically distinct and spatially separated from the community sampled at the marginal ice zone. Analysis of phytoplankton biomass increases along PF current streamlines yielded net growth rates of similar to0.08 d(-1), pointing to in situ growth, rather than transport, as the primary mechanism for chlorophyll accumulation. The significance of the front on the development of the seasonal phytoplankton increase is evident, yet the spatial heterogeneity of the microbial assemblage indicates a complex physical environment with multiple mesoscale influences.</t>
  </si>
  <si>
    <t>Univ Hawaii Manoa, Dept Oceanog, Honolulu, HI 96822 USA</t>
  </si>
  <si>
    <t>University of Hawaii System; University of Hawaii Manoa</t>
  </si>
  <si>
    <t>Univ Hawaii Manoa, Dept Oceanog, 100 Pope Rd, Honolulu, HI 96822 USA.</t>
  </si>
  <si>
    <t>sbrown@soest.hawaii.edu; landry@soest.hawaii.edu</t>
  </si>
  <si>
    <t>Landry, Michael/HGF-1043-2022</t>
  </si>
  <si>
    <t>10.1029/1999JC000188</t>
  </si>
  <si>
    <t>WOS:000169871100007</t>
  </si>
  <si>
    <t>D'Amico, S; Gerday, C; Feller, G</t>
  </si>
  <si>
    <t>Structural determinants of cold adaptation and stability in a large protein</t>
  </si>
  <si>
    <t>JOURNAL OF BIOLOGICAL CHEMISTRY</t>
  </si>
  <si>
    <t>HALOPLANCTIS ALPHA-AMYLASE; ALTEROMONAS-HALOPLANCTIS; DIRECTED EVOLUTION; CONFORMATIONAL FLEXIBILITY; DEHYDROGENASE; ENZYME; DENATURATION; TEMPERATURE; ENVIRONMENTS; DYNAMICS</t>
  </si>
  <si>
    <t>The heat-labile alpha -amylase from an antarctic bacterium is the largest known protein that unfolds reversibly according to a two-state transition as shown by differential scanning calorimetry, Mutants of this enzyme were produced, carrying additional weak interactions found in thermostable alpha -amylases, It is shown that single amino acid side chain substitutions can significantly modify the melting point T-m, the calorimetric enthalpy DeltaH(cal) the cooperativity and reversibility of unfolding, the thermal inactivation rate constant, and the kinetic parameters k(cat) and K-m. The correlation between thermal inactivation and unfolding reversibility displayed by the mutants also shows that stabilizing interactions increase the frequency of side reactions during refolding, leading to intramolecular mismatches or aggregations typical of large proteins. Although all mutations were located far from the active site, their overall trend is to decrease both k(cat) and K-m by rigidifying the molecule and to protect mutants against thermal inactivation. The effects of these mutations indicate that the cold-adapted alpha -amylase has lost a large number of weak interactions during evolution to reach the required conformational plasticity for catalysis at low temperatures, thereby producing an enzyme close to the lowest stability allowing maintenance of the native conformation.</t>
  </si>
  <si>
    <t>Univ Liege, Inst Chem B6, Biochem Lab, B-4000 Liege, Belgium</t>
  </si>
  <si>
    <t>University of Liege</t>
  </si>
  <si>
    <t>Feller, G (corresponding author), Univ Liege, Inst Chem B6, Biochem Lab, B-4000 Liege, Belgium.</t>
  </si>
  <si>
    <t>gfeller@ulg.ac.be</t>
  </si>
  <si>
    <t>AMER SOC BIOCHEMISTRY MOLECULAR BIOLOGY INC</t>
  </si>
  <si>
    <t>BETHESDA</t>
  </si>
  <si>
    <t>9650 ROCKVILLE PIKE, BETHESDA, MD 20814-3996 USA</t>
  </si>
  <si>
    <t>0021-9258</t>
  </si>
  <si>
    <t>1083-351X</t>
  </si>
  <si>
    <t>J BIOL CHEM</t>
  </si>
  <si>
    <t>J. Biol. Chem.</t>
  </si>
  <si>
    <t>JUL 13</t>
  </si>
  <si>
    <t>10.1074/jbc.M102741200</t>
  </si>
  <si>
    <t>451VP</t>
  </si>
  <si>
    <t>hybrid, Green Submitted</t>
  </si>
  <si>
    <t>WOS:000169823300022</t>
  </si>
  <si>
    <t>Hedlund, BP; Geiselbrecht, AD; Staley, JT</t>
  </si>
  <si>
    <t>Marinobacter strain NCE312 has a Pseudomonas-like naphthalene dioxygenase</t>
  </si>
  <si>
    <t>FEMS MICROBIOLOGY LETTERS</t>
  </si>
  <si>
    <t>Marinobacter; polycyclic aromatic hydrocarbon; naphthalenr; marine bacterium; dioxygenase; horizontal gene transfer</t>
  </si>
  <si>
    <t>ANTARCTIC SEA-ICE; BACTERIA; DEGRADATION; DIVERSITY; OXIDATION; EVOLUTION; NOV.</t>
  </si>
  <si>
    <t>One strain of bacteria, designated NCE312, was isolated from a naphthalene-digesting chemostat culture that was inoculated with creosote-contaminated marine sediment. The strain was isolated based on its ability to grow using naphthalene as a sole carbon source. In addition. the strain degraded 2-methylnaphthalene and 1-methylnaphthalene. Analysis of a 16S rRNA gene sequence from NCE312 placed the isolate in the genus Marinobacter, Degenerate PCR primers were used to amplify a fragment of a naphthalene 1,3-dioxygenase large subunit gene. A phylogenetic analysis indicated the Marinobacter naphthalene dioxygenase is similar to those from Pseudomonas and Burkholderia strains suggesting that the dioxygenase gene may have been transferred horizontally between these lineages of bacteria. (C) 2001 Federation of European Microbiological Societies. Published by Elsevier Science B.V. All rights reserved.</t>
  </si>
  <si>
    <t>Univ Washington, Dept Microbiol, Seattle, WA 98195 USA</t>
  </si>
  <si>
    <t>University of Washington; University of Washington Seattle</t>
  </si>
  <si>
    <t>Hedlund, BP (corresponding author), Univ Regensburg, Lehrstuhl Mikrobiol, Univ Str 31, D-92053 Regensburg, Germany.</t>
  </si>
  <si>
    <t>Hedlund, Brian/HJY-8944-2023</t>
  </si>
  <si>
    <t>Hedlund, Brian/0000-0001-8530-0448</t>
  </si>
  <si>
    <t>NIGMS NIH HHS [T32 GM07270] Funding Source: Medline</t>
  </si>
  <si>
    <t>0378-1097</t>
  </si>
  <si>
    <t>FEMS MICROBIOL LETT</t>
  </si>
  <si>
    <t>FEMS Microbiol. Lett.</t>
  </si>
  <si>
    <t>JUL 10</t>
  </si>
  <si>
    <t>10.1016/S0378-1097(01)00238-5</t>
  </si>
  <si>
    <t>454VE</t>
  </si>
  <si>
    <t>WOS:000169991800008</t>
  </si>
  <si>
    <t>Lonhienne, T; Zoidakis, J; Vorgias, CE; Feller, G; Gerday, C; Bouriotis, V</t>
  </si>
  <si>
    <t>Modular structure, local flexibility and cold-activity of a novel chitobiase from a psychrophilic Antarctic bacterium</t>
  </si>
  <si>
    <t>JOURNAL OF MOLECULAR BIOLOGY</t>
  </si>
  <si>
    <t>chitobiase; glycosyl hydrolase; microcalorimetry; psychrophile; extremophile</t>
  </si>
  <si>
    <t>BETA-N-ACETYLGLUCOSAMINIDASE; MOLECULAR-CLONING; ESCHERICHIA-COLI; SEQUENCE; PURIFICATION; PROTEINS; ENZYMES; ACETYLHEXOSAMINIDASE; ADAPTATION; STABILITY</t>
  </si>
  <si>
    <t>The gene archb encoding for the cell-bound chitobiase from the Antarctic Gram-positive bacterium Arthrobacter sp. TAD20 was cloned and expressed in Escherichia coli in a soluble form. The mature chitobiase ArChb possesses four functionally independent domains. a catalytic domain stabilized by Ca2+, a,galactose-binding domain and an immunoglobulin-like domain followed by a cell-wall anchorage signal, typical of cell-surface proteins from Gram-positive bacteria. Binding of saccharides was analyzed by differential scanning calorimetry, allowing to distinguish unequivocally the catalytic domain from the galactose-binding domain and to study binding specificities. The results su,,est that ArChb could play a role in bacterium attachment to natural hosts. Kinetic parameters of ArChb demonstrate perfect adaptation to catalysis at low temperatures, as shown by a low activation energy associated with unusually low K-m and high k(cat) values. Thermodependence of these parameters indicates that discrete amino acid substitutions in the catalytic center have optimized the thermodynamic properties of weak interactions involved in substrate binding at low temperatures. Microcalorimetry also reveals that heat-lability, a general trait of psychrophilic enzymes, only affects the active site domain of ArChb. (C) 2001 Academic Press.</t>
  </si>
  <si>
    <t>Univ Liege, Inst Chem B6, Biochem Lab, B-4000 Liege, Belgium; Inst Mol Biol &amp; Biotechnol, Enzyme Technol Div, Iraklion 71110, Crete, Greece; Univ Athens, Dept Biochem &amp; Mol Biol, Athens 15784, Greece</t>
  </si>
  <si>
    <t>University of Liege; National &amp; Kapodistrian University of Athens</t>
  </si>
  <si>
    <t>Univ Liege, Inst Chem B6, Biochem Lab, B-4000 Liege, Belgium.</t>
  </si>
  <si>
    <t>Zoidakis, Jerome/P-9599-2018; Zoidakis, Jerome/AAO-8236-2021; Lonhienne, Thierry/A-5828-2011</t>
  </si>
  <si>
    <t>Zoidakis, Jerome/0000-0002-4557-3430;</t>
  </si>
  <si>
    <t>ACADEMIC PRESS LTD- ELSEVIER SCIENCE LTD</t>
  </si>
  <si>
    <t>0022-2836</t>
  </si>
  <si>
    <t>1089-8638</t>
  </si>
  <si>
    <t>J MOL BIOL</t>
  </si>
  <si>
    <t>J. Mol. Biol.</t>
  </si>
  <si>
    <t>JUL 6</t>
  </si>
  <si>
    <t>10.1006/jmbi.2001.4774</t>
  </si>
  <si>
    <t>452DX</t>
  </si>
  <si>
    <t>WOS:000169842800002</t>
  </si>
  <si>
    <t>Dore, J</t>
  </si>
  <si>
    <t>The White: Last days in the Antarctic journeys of Scott</t>
  </si>
  <si>
    <t>TLS-THE TIMES LITERARY SUPPLEMENT</t>
  </si>
  <si>
    <t>TIMES SUPPLEMENTS LIMITED</t>
  </si>
  <si>
    <t>MARKET HARBOROUGH</t>
  </si>
  <si>
    <t>TOWER HOUSE, SOVEREIGN PARK, MARKET HARBOROUGH LE87 4JJ, ENGLAND</t>
  </si>
  <si>
    <t>0307-661X</t>
  </si>
  <si>
    <t>TLS-TIMES LIT SUPPL</t>
  </si>
  <si>
    <t>TLS-Times Lit. Suppl.</t>
  </si>
  <si>
    <t>450GM</t>
  </si>
  <si>
    <t>WOS:000169733300062</t>
  </si>
  <si>
    <t>Zdzitowiecki, K</t>
  </si>
  <si>
    <t>Acanthocephala occurring in intermediate hosts, amphipods, in Admiralty Bay (South Shetland Islands, Antarctica)</t>
  </si>
  <si>
    <t>ACTA PARASITOLOGICA</t>
  </si>
  <si>
    <t>Acanthocephala; morphology; intermediate hosts; Amphipoda; Antarctica</t>
  </si>
  <si>
    <t>Acanthellae and cystacanths of four acanthocephalan species, Aspersentis megarhynchus (Linstow, 1892), Corynosoma hamanni (Linstow, 1892), C. pseudohamanni Zdzitowiecki, 1984 and C. bullosum (Linstow, 1892), were found in demersal amphipods caught in Admiralty Bay (the South Shetland Islands, Antarctica). Parasites have been collected from eight host species of 12 examined, namely Bovallia gigantea, Prostebbingia brevicornis, Gondogeneia antarctica, Cheirimedon femoratus, Hippomedon kergueleni, Orchomenella rotundifrons, Waldeckia obesa and Jassa ingens. Acanthocephala were not found in Eurymera monticulosa, Abyssorchomene plebs, Methalimedon nordenskjoeldi and Heterophoxus videns. All four acanthocephalan species are briefly described and figured.</t>
  </si>
  <si>
    <t>Polish Acad Sci, W Stefanski Inst Parasitol, PL-00818 Warsaw, Poland; Polish Acad Sci, Dept Antarctic Biol, PL-02141 Warsaw, Poland</t>
  </si>
  <si>
    <t>Polish Academy of Sciences; Polish Academy of Sciences</t>
  </si>
  <si>
    <t>Zdzitowiecki, K (corresponding author), Polish Acad Sci, W Stefanski Inst Parasitol, Twarda 51-55, PL-00818 Warsaw, Poland.</t>
  </si>
  <si>
    <t>WITOLD STEFANSKI INST PARASITOLOGY</t>
  </si>
  <si>
    <t>WARSAW</t>
  </si>
  <si>
    <t>TWARDA 51/55, 00-818 WARSAW, POLAND</t>
  </si>
  <si>
    <t>1230-2821</t>
  </si>
  <si>
    <t>ACTA PARASITOL</t>
  </si>
  <si>
    <t>Acta Parasitolog.</t>
  </si>
  <si>
    <t>JUL</t>
  </si>
  <si>
    <t>Parasitology; Veterinary Sciences; Zoology</t>
  </si>
  <si>
    <t>473TT</t>
  </si>
  <si>
    <t>WOS:000171064700007</t>
  </si>
  <si>
    <t>Rodger, AS; Wells, GD; Moffett, RJ; Bailey, GJ</t>
  </si>
  <si>
    <t>The variability of Joule heating, and its effects on the ionosphere and thermosphere</t>
  </si>
  <si>
    <t>ANNALES GEOPHYSICAE</t>
  </si>
  <si>
    <t>ionosphere; eletric fields and currents; ionospheric disturbances; polar ionosphere</t>
  </si>
  <si>
    <t>ATMOSPHERIC GRAVITY-WAVES; NOVEMBER 1993 STORM; FIELD VARIABILITY; ENERGY DEPOSITION; MILLSTONE-HILL; ELECTRODYNAMICS; VELOCITY; PERIOD; SYSTEM; MODEL</t>
  </si>
  <si>
    <t>A considerable fraction of the solar wind energy that crosses the magnetopause ends up in the high-latitude thermo sphere-io no sphere system as a result of Joule heating, the consequences of which are very significant and global in nature. Often Joule heating calculations use hourly averages of the electric field, rather than the time-varying electric field. This leads to an underestimation of the heating. In this paper, we determine the magnitude of the underestimation of Joule heating by analysing electric field data from the EISCAT Incoherent Scatter Radar, situated at the 67 degrees E magnetic latitude. We find that the underestimation, using hourly-averaged electric field values, is normally similar to 20%, with an upper value of about 65%. We find that these values are insensitive to changes in solar flux, magnetic activity and magnetic local time, implying that the electric field fluctuations are linear related to the amplitude of the electric field. Assuming that these changes are representative of the entire auroral oval, we then use a coupled ionosphere-thermosphere model to calculate the local changes these underestimations in the heating rate cause to the neutral temperature, mean molecular mass and meridional wind. The changes in each parameter are of the order of a few percent but they result in a reduction in the peak- F-region concentration of similar to 20% in the summer hemisphere at high latitudes, and about half of this level in the winter hemisphere. We suggest that these calculations could be used to add corrections to modelled values of Joule heating.</t>
  </si>
  <si>
    <t>British Antarctic Survey, Cambridge CB3 0ET, England; Univ Sheffield, Dept Appl Math, Space &amp; Atmosphere Res Grp, Sheffield S3 7RH, S Yorkshire, England</t>
  </si>
  <si>
    <t>UK Research &amp; Innovation (UKRI); Natural Environment Research Council (NERC); NERC British Antarctic Survey; University of Sheffield</t>
  </si>
  <si>
    <t>Rodger, AS (corresponding author), British Antarctic Survey, Madingley Rd, Cambridge CB3 0ET, England.</t>
  </si>
  <si>
    <t>EUROPEAN GEOPHYSICAL SOCIETY</t>
  </si>
  <si>
    <t>KATLENBURG-LINDAU</t>
  </si>
  <si>
    <t>MAX-PLANCK-STR 13, 37191 KATLENBURG-LINDAU, GERMANY</t>
  </si>
  <si>
    <t>0992-7689</t>
  </si>
  <si>
    <t>ANN GEOPHYS</t>
  </si>
  <si>
    <t>Ann. Geophys.</t>
  </si>
  <si>
    <t>10.5194/angeo-19-773-2001</t>
  </si>
  <si>
    <t>Astronomy &amp; Astrophysics; Geosciences, Multidisciplinary; Meteorology &amp; Atmospheric Sciences</t>
  </si>
  <si>
    <t>Astronomy &amp; Astrophysics; Geology; Meteorology &amp; Atmospheric Sciences</t>
  </si>
  <si>
    <t>468RU</t>
  </si>
  <si>
    <t>gold, Green Submitted</t>
  </si>
  <si>
    <t>WOS:000170772600010</t>
  </si>
  <si>
    <t>Poole, I; Hunt, RJ; Cantrill, DJ</t>
  </si>
  <si>
    <t>A fossil wood flora from King George Island: Ecological implications for an Antarctic Eocene vegetation</t>
  </si>
  <si>
    <t>ANNALS OF BOTANY</t>
  </si>
  <si>
    <t>fossil wood; Antarctica; Myrtaceae; Eucryphia; Nothofagaceae; Eocene; Valvidia; Tertiary</t>
  </si>
  <si>
    <t>STAND DEVELOPMENT; ANATOMY; DYNAMICS; FOREST</t>
  </si>
  <si>
    <t>Early Tertiary sediments of the Antarctic Peninsula region continue to yield a rich assemblage of well-preserved fossil dicotyledonous angiosperm wood. The wood flora under consideration is from the Collins Glacier region on Fildes Peninsula. King George Island and is derived from tuffaceous sediments of the Middle Unit of the Fildes Formation, These deposits accumulated in a volcanic setting adjacent to a basic-intermediate stratocone. The fossil assemblage provides further evidence for the existence of cool temperate forests similar in composition to those found today in New Zealand, Australia and, in particular. southern South America, This paper describes two conifer and five angiosperm morphotypes. four of which are new additions to the Antarctica palaeoflora records. Cupressinoxylon Goeppert, which is the dominant conifer in terms of numbers, and Podocarpoxylon Gothan represent the conifers. The angiosperm component includes two species of Nothofagoxylon and two previously undescribed wood morphotypes that exhibit greatest anatomical similarity to woods of Luma A. Gray. (Myrtaceae) and Eucryphia Cav. (Cunoniaceae). These morphotypes are described and assigned to the organ general Myrceugenelloxylon Nishida, and Weinmannioxylon Petriella, respectively. A model based on the extant cool temperate Valdivian rainforests is proposed and ecological reconstructions based on palaeobotanical and geological evidence suggest that changes in the palaeovegetation reflect natural dynamics following volcanic disturbances. (C) 2001 Annals of Botany Company.</t>
  </si>
  <si>
    <t>Netherlands Utrecht Univ Branch, Natl Herbarium, Wood Anat Sect, NL-3585 CS Utrecht, Netherlands; Univ Leeds, Sch Earth Sci, Leeds LS2 9JT, W Yorkshire, England; British Antarctic Survey, NERC, Cambridge CB3 0ET, England</t>
  </si>
  <si>
    <t>Utrecht University; University of Leeds; UK Research &amp; Innovation (UKRI); Natural Environment Research Council (NERC); NERC British Antarctic Survey</t>
  </si>
  <si>
    <t>Netherlands Utrecht Univ Branch, Natl Herbarium, Wood Anat Sect, POB 80102, NL-3585 CS Utrecht, Netherlands.</t>
  </si>
  <si>
    <t>i.poole@geo.uu.nl</t>
  </si>
  <si>
    <t>0305-7364</t>
  </si>
  <si>
    <t>1095-8290</t>
  </si>
  <si>
    <t>ANN BOT-LONDON</t>
  </si>
  <si>
    <t>Ann. Bot.</t>
  </si>
  <si>
    <t>10.1006/anbo.2001.1425</t>
  </si>
  <si>
    <t>447QH</t>
  </si>
  <si>
    <t>Green Accepted, Green Submitted, Bronze</t>
  </si>
  <si>
    <t>WOS:000169583600005</t>
  </si>
  <si>
    <t>Smichowski, P; Valiente, L; Piccinna, M</t>
  </si>
  <si>
    <t>ETAAS determination of essential and potentially toxic trace elements in Antarctic Krill certified reference material: Evaluation of two microwave digestion procedures</t>
  </si>
  <si>
    <t>ATOMIC SPECTROSCOPY</t>
  </si>
  <si>
    <t>ATOMIC-ABSORPTION-SPECTROMETRY; HEAVY-METALS; HYDRIDE GENERATION; CADMIUM; LEAD; EXTRACTION; SLURRIES; COPPER; NICKEL; SEA</t>
  </si>
  <si>
    <t>Seven potentially toxic and/or environmentally relevant trace elements, namely Cd; Cr, Cu, Fe, Mn, Ni, and Pb, were determined by electrothermal atomic absorption spectrometry (ETAAS). Two microwave (MW) acid assisted digestion methods (with HNO3/H2O2 and HNO3/HF) were tested to mineralize the certified reference material MURST-ISS-A2, Antarctic Krill. The effect of power and time parameters was tested to investigate the influence of the matrix on analyte recovery. The use of the mixture of Pd and Mg(NO3)(2) as the m-matrix modifier in the ETAAS determination increased the thermal stabilization of Cd and Pb significantly. The detection limits ranged between 3 and 35 ng g(-1) and the dynamic range of the method spared one order of magnitude. The precision was better than 5% in all cases when peak area absorbance was used. The results obtained were in good agreement with the certified values.</t>
  </si>
  <si>
    <t>Comis Nacl Energia Atom, Unidad Act Quim, Ctr Atom Constituyents, RA-1429 Buenos Aires, DF, Argentina; Inst Nacl Tecnol Ind, CEQUIPE, Lab Anal Trazas, RA-1650 San Martin, Buenos Aires, Argentina</t>
  </si>
  <si>
    <t>Comision Nacional de Energia Atomica (CNEA); Instituto Nacional de Tecnologia Industrial (INTI)</t>
  </si>
  <si>
    <t>Smichowski, P (corresponding author), Comis Nacl Energia Atom, Unidad Act Quim, Ctr Atom Constituyents, Av Libertador 8250, RA-1429 Buenos Aires, DF, Argentina.</t>
  </si>
  <si>
    <t>smichows@cnea.gov.ar</t>
  </si>
  <si>
    <t>ATOMIC SPECTROSCOPY PRESS LTD</t>
  </si>
  <si>
    <t>KWAI CHUNG</t>
  </si>
  <si>
    <t>FLAT H29, 1-F, PHASE 2 KWAI SHING IND BLDG, NO 42-46 TAI LIN PAI RD, KWAI CHUNG, KWAI TSING, HONG KONG</t>
  </si>
  <si>
    <t>0195-5373</t>
  </si>
  <si>
    <t>2708-521X</t>
  </si>
  <si>
    <t>ATOM SPECTROSC</t>
  </si>
  <si>
    <t>Atom. Spectrosc.</t>
  </si>
  <si>
    <t>JUL-AUG</t>
  </si>
  <si>
    <t>Spectroscopy</t>
  </si>
  <si>
    <t>479LB</t>
  </si>
  <si>
    <t>WOS:000171404900005</t>
  </si>
  <si>
    <t>Tuffen, H; Gilbert, J; McGarvie, D</t>
  </si>
  <si>
    <t>Products of an effusive subglacial rhyolite eruption: Blahnukur, Torfajokull, Iceland</t>
  </si>
  <si>
    <t>BULLETIN OF VOLCANOLOGY</t>
  </si>
  <si>
    <t>subglacial; rhyolite; magma-ice interaction; columnar jointing; obsidian; phreatomagmatic</t>
  </si>
  <si>
    <t>ANTARCTIC PENINSULA; TABLE MOUNTAINS; LAVA FLOWS; VOLCANO; CALIFORNIA; HYALOCLASTITES; EMPLACEMENT; AUSTRALIA; EVOLUTION; DYNAMICS</t>
  </si>
  <si>
    <t>We present field observations from Blahnukur, a small volume (&lt;0.1 km(3)) subglacial rhyolite edifice at the Torfajokull central volcano, south-central Iceland. Blahnukur was probably emplaced during the last glacial period (ca. 115-11 ka). The characteristics of the deposits suggest that they were formed by an effusive eruption in an exclusively subglacial environment, beneath a glacier &gt; 400 m thick. Lithofacies associations attest to complex patterns of volcano-ice interaction. Erosive channels at the base of the subglacial sequence are filled by both eruption-derived material and subglacial till, which show evidence for deposition by flowing meltwater. This suggests that meltwater was able to drain away from the vent area during the eruption. Much of the subglacial volcanic deposits consist of conical-to-irregularly shaped lava lobes typically 5-10 ni long, set in poorly sorted breccias with an ash-grade matrix. A gradational lava-breccia contact at the base of lava lobes represents a fossilised fragmentation interface, driven by magma-water interaction as the lava flowed over poorly consolidated, waterlogged debris. Sets of columnar joints on the upper surfaces of lobes are interpreted as ice-contact features. The morphology of the lobes suggests that they chilled within conically shaped subglacial cavities 2-5 in high. Avalanche deposits mantling the flanks of Blahnukur appear to have been generated by the collapse of lava lobes and surrounding breccia. A variety of deposit characteristics suggests that this occurred both prior to and after quenching of the lava lobes. Collapse events may have occurred when the supporting ice walls were melted back from around the cooling lava lobes and breccias. Much larger lava flows were emplaced in the latter stages of the eruption. Columnar joint patterns suggest that these flowed and chilled within subglacial cavities 20 m high and 100-200 m in length. There is little evidence for magma-water interaction at lava flow margins which suggests that these larger cavities were drained of meltwater. As rhyolite magma rose to the base of the glacier, the nature of the subglacial cavity system played an important role in governing the style of eruption and the volcanic facies generated. We present evidence that the cavity system evolved during the eruption, reflecting variations in both melting rate and edifice growth that are best explained by a fluctuating eruption rate.</t>
  </si>
  <si>
    <t>Open Univ, Dept Earth Sci, Milton Keynes MK7 6AA, Bucks, England; Univ Lancaster, Dept Environm Sci, Lancaster LA1 4YQ, England</t>
  </si>
  <si>
    <t>Open University - UK; Lancaster University</t>
  </si>
  <si>
    <t>Tuffen, H (corresponding author), Open Univ, Dept Earth Sci, Milton Keynes MK7 6AA, Bucks, England.</t>
  </si>
  <si>
    <t>Gilbert, Jennie/A-3243-2009; McGarvie, Dave/HQZ-8907-2023; Tuffen, Hugh/A-5388-2009</t>
  </si>
  <si>
    <t>Gilbert, Jennie/0000-0002-6277-738X; Tuffen, Hugh/0000-0001-8829-1751</t>
  </si>
  <si>
    <t>0258-8900</t>
  </si>
  <si>
    <t>B VOLCANOL</t>
  </si>
  <si>
    <t>Bull. Volcanol.</t>
  </si>
  <si>
    <t>10.1007/s004450100134</t>
  </si>
  <si>
    <t>456ZH</t>
  </si>
  <si>
    <t>WOS:000170112300007</t>
  </si>
  <si>
    <t>Mooi, R</t>
  </si>
  <si>
    <t>Not all written in stone: interdisciplinary syntheses in echinoderm paleontology</t>
  </si>
  <si>
    <t>CANADIAN JOURNAL OF ZOOLOGY</t>
  </si>
  <si>
    <t>PALEOZOIC EVOLUTIONARY FAUNA; CRETACEOUS-TERTIARY BOUNDARY; MESOZOIC MARINE REVOLUTION; CONTINENTAL FOSSIL RECORDS; ORDOVICIAN GALENA GROUP; SOUTHERN MINNESOTA; MIDDLE ORDOVICIAN; NORTHERN IOWA; STELLEROIDS ECHINODERMATA; MORPHOLOGICAL DIVERSITY</t>
  </si>
  <si>
    <t>The fossil record of the Echinodermata is relatively complete, and is represented by specimens retaining an abundance of features comparable to that found in extant forms. This yields a half-billion-year record of evolutionary novelties unmatched in any other major group, making the Echinodermata a primary target for studies of biological change. Not all of this change can be understood by studying the rocks alone, leading to synthetic research programs. Study of literature from the past 20 years indicates that over 1400 papers on echinoderm paleontology appeared in that time, and that overall productivity has remained almost constant. Analysis of papers appearing since 1990 shows that research is driven by new finds including, but not restricted to, possible Precambrian echinoderms, bizarre new edrioasteroids, early crinoids, exquisitely preserved homalozoans, echinoids at the K-T boundary, and Antarctic echinoids, stelleroids, and crinoids. New interpretations of echinoderm body wall homologies, broad-scale syntheses of embryological information, the study of developmental trajectories through molecular markers, and the large-scale ecological and phenotypic shifts being explored through morphometry and analyses of large data sets are integrated with study of the fossils themselves. Therefore, recent advances reveal a remarkable and continuing synergistic expansion in our understanding of echinoderm evolutionary history.</t>
  </si>
  <si>
    <t>Calif Acad Sci, Dept Invertebrate Zool &amp; Geol, San Francisco, CA 94118 USA</t>
  </si>
  <si>
    <t>California Academy of Sciences</t>
  </si>
  <si>
    <t>Mooi, R (corresponding author), Calif Acad Sci, Dept Invertebrate Zool &amp; Geol, Golden Gate Pk, San Francisco, CA 94118 USA.</t>
  </si>
  <si>
    <t>rmooi@calacademy.org</t>
  </si>
  <si>
    <t>CANADIAN SCIENCE PUBLISHING, NRC RESEARCH PRESS</t>
  </si>
  <si>
    <t>OTTAWA</t>
  </si>
  <si>
    <t>65 AURIGA DR, SUITE 203, OTTAWA, ON K2E 7W6, CANADA</t>
  </si>
  <si>
    <t>0008-4301</t>
  </si>
  <si>
    <t>1480-3283</t>
  </si>
  <si>
    <t>CAN J ZOOL</t>
  </si>
  <si>
    <t>Can. J. Zool.</t>
  </si>
  <si>
    <t>10.1139/cjz-79-7-1209</t>
  </si>
  <si>
    <t>456GF</t>
  </si>
  <si>
    <t>WOS:000170074200005</t>
  </si>
  <si>
    <t>Costa, DP; Gales, NJ; Goebel, ME</t>
  </si>
  <si>
    <t>Aerobic dive limit: how often does it occur in nature?</t>
  </si>
  <si>
    <t>Kooyman Symposium on Diving Physiology and Behavior</t>
  </si>
  <si>
    <t>APR 14, 2000</t>
  </si>
  <si>
    <t>LA JOLLA, CALIFORNIA</t>
  </si>
  <si>
    <t>(ADL) aerobic dive limit; diving behavior; pinnipeds; diving physiology; sea lion; fur seal; diving ability; metabolism; field metabolic rate; foraging ecology</t>
  </si>
  <si>
    <t>ANTARCTIC FUR SEALS; LION NEOPHOCA-CINEREA; WEDDELL SEALS; FORAGING ENERGETICS; PHOCARCTOS-HOOKERI; PLASMA LACTATE; HEART-RATE; LEPTONYCHOTES-WEDDELLII; ZALOPHUS-CALIFORNIANUS; PHYSIOLOGICAL ECOLOGY</t>
  </si>
  <si>
    <t>Diving animals offer a unique opportunity to study the importance of physiological constraint in their everyday behaviors. An important component of the physiological capability of any diving animal is its aerobic dive limit (ADL). The ADL has only been measured in a few species. The goal of this study was to estimate the aerobic dive limit from measurements of body oxygen stores and at sea metabolism. This calculated ADL (cADL) was then compared to measurements of diving behavior of individual animals of three species of otariids, the Antarctic fur seal, Arctocephalus gazella, the Australian sea lion, Neophoca cinerea; and the New Zealand sea lion, Phocarctos hookeri. Antarctic fur seals dove well within the cADL. In contrast, many individuals of both sea lion species exceeded the cADL, some by significant amounts. Australian sea lions typically dove 1.4 times longer than the cADL, while New Zealand sea lions on average dove 1.5 times longer than the cADL. The tendency to exceed the cADL was correlated with the dive pattern of individual animals. In both Antarctic Fur Seals and Australian sea lions, deeper diving females made longer dives that approached or exceeded the cADL (P &lt; 0.01, r(2) = 0.54). Australian and New Zealand sea lions with longer bottom times also exceeded the cADL to a greater degree. The two sea lions forage on the benthos while the fur seals feed shallow in the water column. It appears that benthic foraging requires these animals to reach or exceed their aerobic dive limit. (C) 2001 Elsevier Science Inc. All rights reserved.</t>
  </si>
  <si>
    <t>Univ Calif Santa Cruz, Inst Marine Sci, Dept Biol, Santa Cruz, CA 95064 USA; Antarctic Div, Kingston, Tas 7050, Australia; NOAA, NMFS, SWFSC, Antarctic Ecosyst Res Grp, La Jolla, CA 92038 USA</t>
  </si>
  <si>
    <t>University of California System; University of California Santa Cruz; Australian Antarctic Division; National Oceanic Atmospheric Admin (NOAA) - USA</t>
  </si>
  <si>
    <t>Costa, DP (corresponding author), Univ Calif Santa Cruz, Inst Marine Sci, Dept Biol, Santa Cruz, CA 95064 USA.</t>
  </si>
  <si>
    <t>Carlos, Universidade Federal de São/W-8832-2019; Costa, Daniel Paul/E-2616-2013</t>
  </si>
  <si>
    <t>Carlos, Universidade Federal de São/0000-0002-0334-3899; Costa, Daniel Paul/0000-0002-0233-5782</t>
  </si>
  <si>
    <t>10.1016/S1095-6433(01)00346-4</t>
  </si>
  <si>
    <t>451EQ</t>
  </si>
  <si>
    <t>WOS:000169788500005</t>
  </si>
  <si>
    <t>Arnould, JPY; Green, JA; Rawlins, DR</t>
  </si>
  <si>
    <t>Fasting metabolism in Antarctic fur seal(Arctocephalus gazella) pups</t>
  </si>
  <si>
    <t>COMPARATIVE BIOCHEMISTRY AND PHYSIOLOGY A-MOLECULAR &amp; INTEGRATIVE PHYSIOLOGY</t>
  </si>
  <si>
    <t>otariid; pinnipeds; fasting metabolism; RMR; ketone bodies; plasma metabolites; protein catabolism; neonates</t>
  </si>
  <si>
    <t>ELEPHANT SEAL PUPS; ARCTOCEPHALUS-GAZELLA; BODY-COMPOSITION; LION PUPS; MASS-LOSS; SUBSEQUENT GROWTH; HEAT-PRODUCTION; WATER FLUX; PROTEIN; MILK</t>
  </si>
  <si>
    <t>The metabolism of 52-73-day old Antarctic fur seal pups from Bird Island, South Georgia, was investigated during fasting periods of normal duration while their mothers were at sea foraging. Body mass decreased exponentially with pups losing 3.5-3.8% of body mass per day. Resting metabolic rate also decreased exponentially from 172-197 ml (O-2) min(-1) at the beginning of the fast and scaled to M-b(0.74) at 2.3 times the level predicted for adult terrestrial mammals of similar size. While there was no significant sex difference in RMR, female pups had significantly higher (F-1.18 = 6.614, P &lt; 0.019) mass-specific RMR than male pups throughout the fasting period. Fasting FMR was also significantly (t(15) = 2.37, P &lt; 0.035) greater in females (823 kJkg(-1.)d(-1)) than males (686 kJ kg(-1.)d(-1)). Average protein turnover during the study period was 19.3 g(.)d(-1) and contributed to 5.4% of total energy expenditure, indicating the adoption of a protein-sparing strategy with a reliance on primarily lipid catabolism for metabolic energy. This is supported by observed decreases in plasma BUN, U/C, glucose and triglyceride concentrations, and an increase in beta -HBA concentration, indicating that Antarctic fur seals pups adopt this strategy within 2-3 days of fasting. Mean RQ also decreased from 0.77 to 0.72 within 3 days of fasting, further supporting a rapid commencement of protein-sparing. However, RQ gradually increased thereafter to 0.77, suggesting a resumption of protein catabolism which was not substantiated by changes in plasma metabolites. Female pups had higher TBL (%) than males for any given mass, which is consistent with previous findings in this and other fur seal species, and suggests sex differences in metabolic fuel use. The observed changes in plasma metabolites and protein turnover, however, do not support this. (C) 2001 Elsevier Science Inc. All rights reserved.</t>
  </si>
  <si>
    <t>Macquarie Univ, Grad Sch Environm, Marine Mammal Res Grp, Sydney, NSW 2109, Australia; British Antarctic Survey, Cambridge CB3 0ET, England; Univ Birmingham, Sch Biosci, Birmingham B15 2TT, W Midlands, England</t>
  </si>
  <si>
    <t>Macquarie University; UK Research &amp; Innovation (UKRI); Natural Environment Research Council (NERC); NERC British Antarctic Survey; University of Birmingham</t>
  </si>
  <si>
    <t>Macquarie Univ, Grad Sch Environm, Marine Mammal Res Grp, Sydney, NSW 2109, Australia.</t>
  </si>
  <si>
    <t>jarnould@gse.mq.edu.au</t>
  </si>
  <si>
    <t>Green, Jonathan A/B-8799-2011</t>
  </si>
  <si>
    <t>Green, Jonathan A/0000-0001-8692-0163</t>
  </si>
  <si>
    <t>STE 800, 230 PARK AVE, NEW YORK, NY 10169 USA</t>
  </si>
  <si>
    <t>1531-4332</t>
  </si>
  <si>
    <t>10.1016/S1095-6433(01)00339-7</t>
  </si>
  <si>
    <t>WOS:000169788500010</t>
  </si>
  <si>
    <t>Louanchi, F; Ruiz-Pino, DP; Jeandel, C; Brunet, C; Schauer, B; Masson, A; Fiala, M; Poisson, A</t>
  </si>
  <si>
    <t>Dissolved inorganic carbon, alkalinity, nutrient and oxygen seasonal and interannual variations at the Antarctic Ocean JGOFS-KERFIX site</t>
  </si>
  <si>
    <t>Antarctic zone; biological production; biogeochemical cycles; carbon dioxide; oxygen; temporal distribution; oceanic mixed layer; carbon cycle; nutrient cycles</t>
  </si>
  <si>
    <t>TIME-SERIES STATION; MEAN ANNUAL CYCLE; SOUTHERN-OCEAN; DISSOCIATION-CONSTANTS; KERGUELEN ISLANDS; SURFACE-WATER; INDIAN-OCEAN; WORLD OCEAN; CO2; IRON</t>
  </si>
  <si>
    <t>JGOFS-KERFIX (KERguelen point FIXe) time-series station, located south of the polar front in the Indian sector of the Antarctic Ocean, was occupied monthly between January 1990 and March 1995. Annual cycles of dissolved inorganic carbon (DIC), total alkalinity (TALK), oxygen (O-2) and nutrients (nitrate, silicate, phosphate and ammonia) in the upper ocean are presented for this site. From seasonal drawdown of nutrients and DIG, we estimate a spring-summer net community production of 3.2 +/- 0.5 mol m(-2) and C/N/P ratios of 100/16/1. The Si/N ratio varies between 1.8 and 3, suggesting low iron concentrations. The spring-summer biogenic silicon export derived from silicate drawdown is 1.18 mol m(-2), consistent with model estimates of silicate export at this site. Seasonal and interannual variations of oxygen, nitrate and DIC due to physical and biological processes are quantified using a simple month-to-month budget formulation, From these budgets, an annual net community production of 5.7 +/- 3.3 mol m(-2) yr(-1) is estimated, about twice the averaged spring-summer production, indicating that, at KERFIX, there is a positive net community production throughout the year. Air-sea CO2 fluxes show that KERFIX is a strong COL sink for the atmosphere of 2.4-5.1 mol m(-2) yr(-1) in 1993, depending on the gas exchange formulation used. A 2.1-3.3 mol m(-2) yr(-1) outgassing of O-2 is observed at KERFIX except in 1993 and 1994 where a decreasing trend of temperature induces an increase of O-2 solubility. (C) Elsevier Science Ltd. All rights reserved.</t>
  </si>
  <si>
    <t>Penn State Univ, Dept Meteorol, University Pk, PA 16802 USA; Univ Paris 06, Phys &amp; Chim Marines Lab, URA 2076, F-75252 Paris 05, France; Observ Midi Pyrenees, LEGOS, CNES, CNRS,UPS,UMR 5566, F-31400 Toulouse, France; Univ Bretagne Occidentale, CNRS, URA 1513, F-29285 Brest, France; Univ Paris 06, Lab Arago, CNRS, UMR 7621, F-66650 Banyuls sur Mer, France</t>
  </si>
  <si>
    <t>Pennsylvania Commonwealth System of Higher Education (PCSHE); Pennsylvania State University; Pennsylvania State University - University Park; Sorbonne Universite; 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 Universite de Bretagne Occidentale; Centre National de la Recherche Scientifique (CNRS); Sorbonne Universite; Centre National de la Recherche Scientifique (CNRS); CNRS - National Institute for Earth Sciences &amp; Astronomy (INSU)</t>
  </si>
  <si>
    <t>Louanchi, F (corresponding author), Penn State Univ, Dept Meteorol, 503 Walker Bldg, University Pk, PA 16802 USA.</t>
  </si>
  <si>
    <t>Jeandel, Catherine/P-3789-2014</t>
  </si>
  <si>
    <t>Jeandel, Catherine/0000-0002-4915-4719</t>
  </si>
  <si>
    <t>10.1016/S0967-0637(00)00086-8</t>
  </si>
  <si>
    <t>429CX</t>
  </si>
  <si>
    <t>WOS:000168499400002</t>
  </si>
  <si>
    <t>Klaas, C</t>
  </si>
  <si>
    <t>Spring distribution of larger (&gt;64 μm) protozoans in the Atlantic sector of the Southern Ocean</t>
  </si>
  <si>
    <t>Southern Ocean; plankton; protozoa; abundance; biomass; distribution</t>
  </si>
  <si>
    <t>ANTARCTIC CIRCUMPOLAR CURRENT; PROTOPERIDINIUM CF DIVERGENS; ICE EDGE ZONE; WEDDELL SEA; PHAEODARIAN RADIOLARIANS; DISTRIBUTION PATTERNS; FEEDING ECOLOGY; SCOTIA SEAS; WINTER; PREDATION</t>
  </si>
  <si>
    <t>Distribution of larger protozoans (armoured dinoflagellates, tintinnids, heliozoans, radiolarians and foraminiferans &gt; 64 mum) is presented for three major water masses of the Southern Ocean: the Polar Front region (PFr), the southern Antarctic Circumpolar Current (southern ACC) and the northern Weddell Gyre. Sampling took place during: the SO-JGOFS cruise ANT X/6 of R/V Polarstern (October-November 1992) along a meridional transect at 6 degreesW between 48 degrees 00'S and 59 degrees 30'S. Multinet samples (64 mum mesh size) were taken at six stations from the surface down to 500 m depth at five different depth intervals. In the upper 100 m of the water column abundances of larger protozoans varied between 94 and 10,930 ind, m(-3), with highest abundances in the PFr, where phytoplankton blooms occurred, and lowest values in the Antarctic Circumpolar Current-Weddell Gyre Boundary (AWB). Foraminiferans and polycystine and smaller ( &lt; 300 m) phaeodarian radiolarians dominated larger protozoan assemblages in the PFr. In open water of the southern ACC, tintinnids, armoured dinoflagellates, foraminiferans and smaller ( &lt; 300 m) phaeodarian radiolarians were equally important. The heliozoans Sticholonche spp. and nassellarian radiolarians dominated assemblages in the Weddell Gyre and AS VB. Larger protozoan biomasses ranged between 2 and 674 mug C m(-3) and were always dominated by larger (&gt;300 mum) phaeodarians. Highest biomasses were found in the AWE between 200 and 500 m depth. Standing stocks of larger protozoans constituted a negligible fraction of zooplankton biomass in the upper 200 m of the water column. In deeper layers of the ice-covered Weddell Gyre and AWE their biomasses, dominated by larger ( &gt; 300 mum) phaeodarians, was significant contributing up to 45% to total larger protozoan and metazoan biomass. Analysis of correlation between distribution patterns and environmental conditions at the stations sampled indicate that spring distribution patterns of heterotrophic armoured dinoflagellates, polycystine radiolarians and foraminiferans follow productivity in the water column. Of the protozoan groups studied the smaller (&lt; 300 m) phaeodarian radiolarians also showed a significant correlation with productivity during spring, however, results from previous studies do not suggest a consistent pattern. Spring distribution patterns of other larger protozoans were not related to differences in productivity in the water column, and effects such as ice-cover, grazing or silica limitation might be determining. Dead radiolarian skeletons constituted on average 27, 8 and 11% of the population of nassellarians, spumellarians and smaller ( &lt; 300 m) phaeodarians, respectively. The contribution of dead radiolarian skeletons to total radiolarian stocks varied with depth and mater mass. Differences between live and skeleton assemblages composition mere observed. These differences should be taken into consideration when interpreting the geological record. (C) 2001 Elsevier Science Ltd. All rights reserved.</t>
  </si>
  <si>
    <t>Klaas, C (corresponding author), Univ Chicago, Dept Geophys Sci, 5734 S Ellis Ave, Chicago, IL 60615 USA.</t>
  </si>
  <si>
    <t>Klaas, Christine/0000-0002-6679-8970</t>
  </si>
  <si>
    <t>10.1016/S0967-0637(00)00088-1</t>
  </si>
  <si>
    <t>WOS:000168499400004</t>
  </si>
  <si>
    <t>King, AL; Howard, WR</t>
  </si>
  <si>
    <t>Seasonality of foraminiferal flux in sediment traps at Chatham Rise, SW Pacific: implications for paleotemperature estimates</t>
  </si>
  <si>
    <t>particulate flux; paleoceanography; foraminifera; subtropical convergences; oceanic fronts; New Zealand</t>
  </si>
  <si>
    <t>SEA-SURFACE TEMPERATURE; SUBTROPICAL CONVERGENCE; NEW-ZEALAND; PLANKTONIC-FORAMINIFERA; SOUTHWEST PACIFIC; AUSTRAL WINTER; SOUTHERN-OCEAN; CIRCULATION; REGION; EAST</t>
  </si>
  <si>
    <t>Analysis of sediment traps located either side of the Subtropical Front east of New Zealand reveals a strong association between water masses and foraminiferal assemblages, The composition and timing of foraminiferal productivity is distinct between waters north and south of the front; and these differences are also reflected in the assemblages of nearby care-tops, The sediment trap data indicate highly seasonal flux patterns in this region, so sedimentary records may represent flux during a particular season, rather than throughout the annual cycle, This pronounced seasonality has implications for our estimates of the annual temperature range based on faunal assemblages, This study shows that despite strong flux seasonality the annual sea-surface temperature (SST) range is reliably estimated from the sediment trap foraminiferal assemblages by the modern analog technique, The successful estimation of the annual SST range also indicates that the annual flux obtained from these sediment traps is representative of the longer term flux preserved in surface sediments, Care-top assemblages from this region can therefore be directly related to modern sea-surface conditions, providing an analogue for interpreting past environmental change from fossil assemblages. (C) 2001 Elsevier Science Ltd, All rights reserved.</t>
  </si>
  <si>
    <t>Univ Tasmania, Inst Antarctic &amp; So Ocean Studies, Hobart, Tas 7001, Australia; Univ Tasmania, Antarctic Cooperat Res Ctr, Hobart, Tas 7001, Australia</t>
  </si>
  <si>
    <t>alexandk@utas.edu.au; will.howard@utas.edu.au</t>
  </si>
  <si>
    <t>Post, Alexandra/0000-0002-6287-3283</t>
  </si>
  <si>
    <t>1879-0119</t>
  </si>
  <si>
    <t>10.1016/S0967-0637(00)00106-0</t>
  </si>
  <si>
    <t>WOS:000168499400007</t>
  </si>
  <si>
    <t>Vinogradova, AA; Burova, LP</t>
  </si>
  <si>
    <t>Purification mechanisms of the Arctic atmosphere</t>
  </si>
  <si>
    <t>DOKLADY EARTH SCIENCES</t>
  </si>
  <si>
    <t>LONG-RANGE TRANSPORT; AEROSOL</t>
  </si>
  <si>
    <t>Russian Acad Sci, Oboukhov Inst Atmospher Phys, Moscow 109017, Russia; Arctic &amp; Antarctic Res Inst, St Petersburg 199397, Russia</t>
  </si>
  <si>
    <t>Russian Academy of Sciences; Obukhov Institute of Atmospheric Physics of Russian Academy of Sciences; Arctic &amp; Antarctic Research Institute</t>
  </si>
  <si>
    <t>Vinogradova, AA (corresponding author), Russian Acad Sci, Oboukhov Inst Atmospher Phys, Pyzhevskii Per 3, Moscow 109017, Russia.</t>
  </si>
  <si>
    <t>Vinogradova, Anna/0000-0002-4056-472X</t>
  </si>
  <si>
    <t>1028-334X</t>
  </si>
  <si>
    <t>DOKL EARTH SCI</t>
  </si>
  <si>
    <t>Dokl. Earth Sci.</t>
  </si>
  <si>
    <t>465AK</t>
  </si>
  <si>
    <t>WOS:000170565400012</t>
  </si>
  <si>
    <t>Masolov, VN; Lukin, VV; Sheremetiev, AN; Popov, SV</t>
  </si>
  <si>
    <t>Geophysical investigations of the subglacial Lake Vostok in eastern Antarctica</t>
  </si>
  <si>
    <t>Polar Marine Geol Res Expedit, St Petersburg 189510, Russia; Arctic &amp; Antarctic Res Inst, St Petersburg 199397, Russia</t>
  </si>
  <si>
    <t>Masolov, VN (corresponding author), Polar Marine Geol Res Expedit, Ul Pobedy 24, St Petersburg 189510, Russia.</t>
  </si>
  <si>
    <t>Popov, Sergey/IYJ-2371-2023; Popov, Sergey V./I-2319-2013; Lukin, Valeriy/N-1147-2015</t>
  </si>
  <si>
    <t>Popov, Sergey/0000-0002-1830-8658; Popov, Sergey V./0000-0002-1830-8658; Lukin, Valeriy/0000-0003-1726-7361</t>
  </si>
  <si>
    <t>WOS:000170565400029</t>
  </si>
  <si>
    <t>Lappo, SS; Lozovatsky, ID; Morozov, EG; Sokov, AV; Shapovalov, SM</t>
  </si>
  <si>
    <t>Variability of water structure in the Equatorial Atlantic</t>
  </si>
  <si>
    <t>ANTARCTIC BOTTOM WATER</t>
  </si>
  <si>
    <t>Russian Acad Sci, PP Shirshov Oceanol Inst, Moscow 117851, Russia; Arizona State Univ, Dept Mech &amp; Aerosp Engn, Tempe, AZ 85298 USA</t>
  </si>
  <si>
    <t>Russian Academy of Sciences; Shirshov Institute of Oceanology; Arizona State University; Arizona State University-Tempe</t>
  </si>
  <si>
    <t>Lappo, SS (corresponding author), Russian Acad Sci, PP Shirshov Oceanol Inst, Nakhimovskii Pr 36, Moscow 117851, Russia.</t>
  </si>
  <si>
    <t>Morozov, Eugene G/L-3023-2018</t>
  </si>
  <si>
    <t>Morozov, Eugene/0000-0002-0251-3454</t>
  </si>
  <si>
    <t>WOS:000170565400030</t>
  </si>
  <si>
    <t>Urzì, C; Brusetti, L; Salamone, P; Sorlini, C; Stackebrandt, E; Daffonchio, D</t>
  </si>
  <si>
    <t>Biodiversity of Geodermatophilaceae isolated from altered stones and monuments in the Mediterranean basin</t>
  </si>
  <si>
    <t>ENVIRONMENTAL MICROBIOLOGY</t>
  </si>
  <si>
    <t>BACTERIA; IDENTIFICATION; MICROORGANISMS; ACTINOMYCETE; PROPOSAL; STRAIN; MARBLE; ROCKS; SOILS; FUNGI</t>
  </si>
  <si>
    <t>An investigation was made into the occurrence and biodiversity of Geodermatophilaceae on 78 samples of altered stone surfaces from 24 monuments and natural stones in the Mediterranean basin; it was found that the total microbial counts ranged between 0 and 10(7) cfu g(-1) dry weight. Members of the Geodermatophilaceae family were isolated from 22 of the 78 samples examined, with the incidence of Geodermatophilaceae colonies in the cultivable population ranging from 1% to 100%. The highest percentage was found in six samples of markedly deteriorated stone. Sixty-five strains randomly isolated from the plates were clustered in six different groups by amplified 16S rDNA restriction analysis (ARDRA) using five different restriction enzymes. Twenty-five strains, representing all the ARDRA haplotypes, were characterized further by partial sequencing (350-550 bp) of the 16S rDNA and by analysing 76 morphological, metabolic and physiological properties. The strains were associated with three well-separated clusters of the genera Geodermatophilus, Blastococcus and Modestobacter. On the basis of 16S rDNA sequence and ARDRA analysis, only two strains were found to be related to the two reference strains of Geodermatophilus. All the others could be grouped with Blastococcus aggregatus (19 strains) or the Antarctic species Modestobacter multiseptatus (44 strains), suggesting that it is these two groups, rather than Geodermatophilus, that tend to colonize the stone surfaces, and that Modestobacter-like strains are also found in temperate/Mediterranean climates. From the BOX-polymerase chain reaction (PCR) data, it can be seen that the Modestobacter-like strains, belonging to the most represented ARDRA haplotype (haplotype B, 34 strains), are very polymorphic and that, over a stone surface, there is a wide genetic diversity at the microsite level.</t>
  </si>
  <si>
    <t>Univ Messina, Dept Microbiol Genet &amp; Mol Sci, I-98166 Messina, Italy; Univ Milan, Dept Food Sci &amp; Microbiol, I-20133 Milan, Italy; DSMZ German Collect Microorganisms &amp; Cell Culture, D-38124 Braunschweig, Germany</t>
  </si>
  <si>
    <t>University of Messina; University of Milan; Leibniz Institut fur Deutsche Sammlung von Mikroorganismen und Zellkulturen (DSMZ)</t>
  </si>
  <si>
    <t>Univ Milan, Dept Food Sci &amp; Microbiol, via Celoria 2, I-20133 Milan, Italy.</t>
  </si>
  <si>
    <t>daniele.daffonchio@unimi.it</t>
  </si>
  <si>
    <t>Urzi, Clara E/G-9675-2012; Daffonchio, Daniele/AAF-4922-2019</t>
  </si>
  <si>
    <t>Daffonchio, Daniele/0000-0003-0947-925X; Urzi, Clara/0000-0001-7952-9422; Brusetti, Lorenzo/0000-0002-1773-6618; Stackebrandt, Erko/0000-0002-6130-760X</t>
  </si>
  <si>
    <t>1462-2912</t>
  </si>
  <si>
    <t>1462-2920</t>
  </si>
  <si>
    <t>ENVIRON MICROBIOL</t>
  </si>
  <si>
    <t>Environ. Microbiol.</t>
  </si>
  <si>
    <t>10.1046/j.1462-2920.2001.00217.x</t>
  </si>
  <si>
    <t>473CV</t>
  </si>
  <si>
    <t>WOS:000171022900006</t>
  </si>
  <si>
    <t>López-García, P; López-López, A; Moreira, D; Rodríguez-Valera, F</t>
  </si>
  <si>
    <t>Diversity of free-living prokaryotes from a deep-sea site at the Antarctic Polar Front</t>
  </si>
  <si>
    <t>deep sea; plankton; microbial diversity; 16S rRNA; Euryarchaeoton; gamma-Proteobacterium</t>
  </si>
  <si>
    <t>MARINE PLANKTONIC ARCHAEA; MARIANA-TRENCH; PHYLOGENETIC CHARACTERIZATION; GENE-SEQUENCES; SPACER REGION; BACTERIA; BACTERIOPLANKTON; SEDIMENTS; HYBRIDIZATION; ASSEMBLAGES</t>
  </si>
  <si>
    <t>To contribute to the understanding or deep-sea planktonic communities, we explored the prokaryotic diversity. of a 3000 m deep site at the Antarctic Polar Front using molecular methods. Bacterial 16S rDNA-amplified sequences corresponded to the as yet uncultivated groups SAR11, within the alpha -Proteobacteria, and SAR324. within the delta -Proteobacteria, as well as to the gamma -Proteobacteria, Cytophagales. Planctomyces, Gram-positives, and the group of environmental sequences SAR406. Among them, gamma -proteobacterial sequences were the most abundant and diverse. Within Archaea, and using six different primer sets for 16S rDNA amplification, only euryarchaeotal sequences were retrieved. Most of them clustered with the Thermoplasma-related marine groups II and III, but some corresponded to a recently described group of marine sequences emerging at the base of haloarchaea. Our data suggest that gamma -Proteobacteria and Euryarchaeota may be dominant elements in terms of genetic diversity of the two prokaryotic domains in this deep-sea pelagic area. (C) 2001 Federation of European Microbiological Societies. Published by Elsevier Science B.V. All rights reserved.</t>
  </si>
  <si>
    <t>Univ Miguel Hermandez, Div Microbiol, San Juan Alicante 03550, Spain; Univ Paris 06, Marine Biol Lab, F-75005 Paris, France; Univ Paris 06, Bioinformat Genome, Equipe Phylogenie, F-75005 Paris, France</t>
  </si>
  <si>
    <t>Sorbonne Universite; Sorbonne Universite</t>
  </si>
  <si>
    <t>Rodríguez-Valera, F (corresponding author), Univ Miguel Hermandez, Div Microbiol, San Juan Alicante 03550, Spain.</t>
  </si>
  <si>
    <t>Moreira, David/F-7445-2012; Rodriguez-Valera, Francisco/M-2782-2013; Lopez-Garcia, Purificacion/B-6775-2012</t>
  </si>
  <si>
    <t>Moreira, David/0000-0002-2064-5354; Rodriguez-Valera, Francisco/0000-0002-9809-2059; Lopez Lopez, Arantxa/0000-0002-6081-7608; Lopez-Garcia, Purificacion/0000-0002-0927-0651</t>
  </si>
  <si>
    <t>10.1016/S0168-6496(01)00133-7</t>
  </si>
  <si>
    <t>455WQ</t>
  </si>
  <si>
    <t>WOS:000170051100013</t>
  </si>
  <si>
    <t>Schweder, T</t>
  </si>
  <si>
    <t>Protecting whales by distorting uncertainty: non-precautionary mismanagement?</t>
  </si>
  <si>
    <t>FISHERIES RESEARCH</t>
  </si>
  <si>
    <t>International Whaling Commission; revised management procedure; instability in management</t>
  </si>
  <si>
    <t>Precautionary management is based on science, and is incompatible with large fluctuations in the management regime. Whaling is managed by the International Whaling Commission, and has seen large fluctuations. It is argued that both the period of intense Antarctic whaling and the current period of protectionism have been unduly prolonged by scientists expanding out of proportion the uncertainty surrounding management issues. In the 1950s, uncertainty concerning fin whale stock status and trend was consistently distorted from one quarter, and in the 1990s a minority in the Scientific Committee blocked consensus over the revised management procedure that had been successfully developed by the Committee. In both cases, the political consequence of expanded uncertainty in the science was lack of action resulting in a continuation of business as usual. Extending a period of heavy exploitation longer than the resource can sustain is mismanagement. Extending a period of extreme protectionism when the resource is known to scientists to sustain valuable exploitation is also mismanagement even from a conservationist point of view. This might, in fact, erode the role of science in management and thus prepare the ground for subsequent overexploitation. Distorting uncertainty by injecting controversy or otherwise expanding uncertainty has contributed to excessive fluctuations in management regimes and consequently in stock abundance. Detrimental fluctuations might continue, since science is side tracked and management now is based on sentiments that might fade. (C) 2001 Elsevier Science B.V. All rights reserved.</t>
  </si>
  <si>
    <t>Univ Oslo, Dept Econ, N-0317 Oslo 3, Norway</t>
  </si>
  <si>
    <t>University of Oslo</t>
  </si>
  <si>
    <t>Schweder, T (corresponding author), Univ Oslo, Dept Econ, Box 1095, N-0317 Oslo 3, Norway.</t>
  </si>
  <si>
    <t>0165-7836</t>
  </si>
  <si>
    <t>FISH RES</t>
  </si>
  <si>
    <t>Fish Res.</t>
  </si>
  <si>
    <t>10.1016/S0165-7836(00)00263-0</t>
  </si>
  <si>
    <t>Fisheries</t>
  </si>
  <si>
    <t>449EC</t>
  </si>
  <si>
    <t>WOS:000169670500007</t>
  </si>
  <si>
    <t>Curtis, ML</t>
  </si>
  <si>
    <t>Tectonic history of the Ellsworth Mountains, West Antarctica: Reconciling a Gondwana enigma</t>
  </si>
  <si>
    <t>GEOLOGICAL SOCIETY OF AMERICA BULLETIN</t>
  </si>
  <si>
    <t>Cape Province; Ellsworth Mountains; Gondwana; structural geology; Transantarctic Mountains; South Africa</t>
  </si>
  <si>
    <t>CENTRAL TRANSANTARCTIC MOUNTAINS; CAPE FOLD BELT; CAMBRIAN DEFORMATION; PACIFIC MARGIN; AGE; TERRANE; SEDIMENTATION; TRANSPRESSION; OROGENESIS; HYPOTHESIS</t>
  </si>
  <si>
    <t>Early Paleozoic orogenesis has been recognized along the southern African (Saldanian orogeny) and East Antarctic (Ross orogeny) sectors of the Gondwana paleo-Pacific margin. However, the absence of a contemporaneous orogenic event in the Ellsworth Mountains of West Antarctica, once a contiguous part of this margin, has resulted in their geology being considered enigmatic. In this contribution, widespread, detailed structural studies from all stratigraphic levels of the Ellsworth Mountains allow their tectonic evolution to be reassessed. Geochemical, stratigraphic, and structural data indicate that the Middle to Upper Cambrian Heritage Group developed in a continental rift basin. Multiple observations of the crucial end-Cambrian contact between this rift sequence and the overlying Crashsite Group reveal the contact to be regionally conformable; there are localized outcrop-scale unconformities, Furthermore, structural continuity can be demonstrated across this key boundary, thus precluding the possibility of an end-Cambrian orogenic event. The entire stratigraphic succession was affected by two post-Permian phases of deformation. D-2 structures are locally developed and superimposed by the main dextral transpressive D-2 Permian-Triassic Gondwanian deformation event. D-2 is succeeded by an episode of extension orthogonal to orogenic strike. Recent geochronological data on the early Paleozoic evolution of the Cape fold belt reveal a strong tectonostratigraphic correlation with the Ellsworth Mountains, indicating that this sector of the Gondwana paleo-Pacific margin was affected by Middle to Late Cambrian rifting, A new tectonic model is proposed for the southwestern paleo-Pacific margin of Gondwana that accounts for the presence of rifting along a margin otherwise dominated by active subduction.</t>
  </si>
  <si>
    <t>m.curtis@bas.ac.uk</t>
  </si>
  <si>
    <t>Curtis, Mike/HKV-6176-2023</t>
  </si>
  <si>
    <t>0016-7606</t>
  </si>
  <si>
    <t>1943-2674</t>
  </si>
  <si>
    <t>GEOL SOC AM BULL</t>
  </si>
  <si>
    <t>Geol. Soc. Am. Bull.</t>
  </si>
  <si>
    <t>10.1130/0016-7606(2001)113&lt;0939:THOTEM&gt;2.0.CO;2</t>
  </si>
  <si>
    <t>449EB</t>
  </si>
  <si>
    <t>WOS:000169670400011</t>
  </si>
  <si>
    <t>Kleimenova, NG; Kozyreva, OV; Schott, JJ; Bitterly, M; Manninen, J; Ivanova, PK</t>
  </si>
  <si>
    <t>High-latitude Pc4 geomagnetic pulsations generated by the interplanetary magnetic cloud approaching the earth on January 10, 1997</t>
  </si>
  <si>
    <t>CUSP LATITUDES; SOLAR-WIND; COHERENCE; POLAR; MAGNETOSPHERE; SIGNATURES</t>
  </si>
  <si>
    <t>Based on observational data collected at high latitudes (Antarctic observatory Dumont d'Urville and Scandinavian Magnetometer Network IMAGE), it has been demonstrated that the turbulent region ahead of the interplanetary magnetic cloud that approached the Earth on January 10, 1997, resulted in the generation of Pc4 geomagnetic pulsations with the maximum at 8-12 MHz. Their maximum amplitude was observed near the equatorial boundary of the polar cap. The enhancement of the high-latitude Pc4 pulsations was accompanied by the development of the westward electrojet and intensification of the auroras. A cluster analysis of the dependence of the Pc4 amplitude on the situation in the IMF revealed a close relationship between these geomagnetic pulsations to the IMF B-y component and the solar wind velocity. The simultaneous enhancement of the high-latitude Pc4 in the region of the auroral electrojet and the development of auroras at large values of the IMF B (similar to8-14 nT) and a cone angle of &gt; 60 degrees led us to the suggestion that the geomagnetic pulsations observed do not result from an excitation of extramagnetospheric upstream waves but are produced by a local ionospheric source.</t>
  </si>
  <si>
    <t>Russian Acad Sci, Schmidt Joint Inst Phys Earth, Moscow 123995, Russia; Ecole &amp; Observ Sci Terre, F-67084 Strasbourg, France; Chambon La Foret Observ, Inst Phys Globe, F-45340 Chambon La Foret, France; Sodankyla Geophys Observ, SF-996000 Sodankyla, Finland; Bulgarian Acad Sci, Inst Geophys, BU-1113 Sofia, Bulgaria</t>
  </si>
  <si>
    <t>Russian Academy of Sciences; Schmidt Institute of Physics of the Earth of the Russian Academy of Sciences; Universite Paris Cite; Bulgarian Academy of Sciences</t>
  </si>
  <si>
    <t>Kleimenova, NG (corresponding author), Russian Acad Sci, Schmidt Joint Inst Phys Earth, Bolshaya Gruzinskaya Ul 10, Moscow 123995, Russia.</t>
  </si>
  <si>
    <t>Manninen, Jyrki/I-4004-2019</t>
  </si>
  <si>
    <t>Manninen, Jyrki/0000-0003-2866-4231</t>
  </si>
  <si>
    <t>465DP</t>
  </si>
  <si>
    <t>WOS:000170574600008</t>
  </si>
  <si>
    <t>Detrick, DL; Lanzerotti, LJ</t>
  </si>
  <si>
    <t>Geomagnetic quiet time (Sq) variations at high latitudes</t>
  </si>
  <si>
    <t>CONDUCTANCES; ENERGY; FLUX</t>
  </si>
  <si>
    <t>The availability of geomagnetic data from two Antarctic Geophysical Observatories (AGOs P5 and P6; invariant geomagnetic latitudes 87 degrees and 85 degreesS) in the deep southern hemisphere polar cap allows for the first time the study of the geomagnetic quiet time variations (Sq) at the highest latitudes possible. We present analyses of the Sq variations at these two AGO sites for data obtained in 1997, and compare them with model predictions. We find strong evidence that the Sq variations near 90 degreesS geomagnetic latitude are considerably larger (factor of two or more) than would be expected from the model, independent of season. Comparison of the measurements of the vertical components to the model suggests that there may be large differences in the Earth's deep mantle conductivity under the Antarctic ice cap at the two locations. These observations highlight the need for incorporating high latitude data into Sq models.</t>
  </si>
  <si>
    <t>Univ Maryland, Inst Phys Sci &amp; Technol, College Pk, MD 21042 USA; Bell Labs, Lucent Technol, Murray Hill, NJ 07974 USA</t>
  </si>
  <si>
    <t>University System of Maryland; University of Maryland College Park; AT&amp;T; Alcatel-Lucent; Lucent Technologies</t>
  </si>
  <si>
    <t>Detrick, DL (corresponding author), Univ Maryland, Inst Phys Sci &amp; Technol, College Pk, MD 21042 USA.</t>
  </si>
  <si>
    <t>JUL 1</t>
  </si>
  <si>
    <t>10.1029/2000GL012161</t>
  </si>
  <si>
    <t>446BU</t>
  </si>
  <si>
    <t>WOS:000169493700025</t>
  </si>
  <si>
    <t>Milton, JD; Fernig, DG; Rhodes, JM</t>
  </si>
  <si>
    <t>Use of a biosensor to determine the binding kinetics of five lectins for Galactosyl-N-acetylgalactosamine</t>
  </si>
  <si>
    <t>GLYCOCONJUGATE JOURNAL</t>
  </si>
  <si>
    <t>peanut lectin; mushroom lectin; jacalin; resonant mirror biosensor; Thomsen-Friedenreich antigen</t>
  </si>
  <si>
    <t>THOMSEN-FRIEDENREICH-ANTIGEN; PEANUT LECTIN; CARBOHYDRATE; AGGLUTININ; PROLIFERATION; DISACCHARIDE; COMPLEX; JACALIN; CELLS</t>
  </si>
  <si>
    <t>The dietary lectins, edible mushroom (ABL) and Jacalin (JAC) inhibit the proliferation of colonic cancer cells, whereas Amaranth (ACL) and peanut (PNA) stimulate their proliferation. All these lectins share as their preferred ligand the Thomsen-Friedenreich (TF) antigen galactosyl beta1,3 N-Acetylgalactosamine (Galbeta1,3GalNAc), but differ in their finer specificities for modifications of this determinant and in their specificities for cancerous epithelia. We have investigated, using a resonant mirror biosensor, the kinetics of binding of these lectins, and Maclura pomifera lectin (MPL), which is similar to JAC, to two different Gal-GalNac bearing glycoproteins, antarctic fish antifreeze glycoprotein (AFG) and asialofetuin. JAC had the highest affinity for AFG [K-d 0.027 muM] due to a fast association rate constant [k(a)ss 610,000 (Ms)(-)1]. The other lectins had considerably lower affinities, with K-d ranging from 0.16 muM (ABL) to 5.7 muM (PNA), largely due to slower k(a)ss [ABL 74,000 (Ms)(-)1 to PNA 2700 (Ms)(-)1]. Similarly, JAC had a much higher affinity for asialofetuin [K-d 0.083 muM] than the other lectins [K-d 1.0 muM-4.5 muM]. Affinities were also calculated from the extent of binding at equlibrium and were generally similar to those calculated from the kinetic parameters indicating the true nature of these values.</t>
  </si>
  <si>
    <t>Univ Liverpool, Dept Med, Gastroenterol Res Grp, Liverpool L69 3GA, Merseyside, England; Univ Liverpool, Sch Biol Sci, Liverpool L69 7ZB, Merseyside, England</t>
  </si>
  <si>
    <t>University of Liverpool; University of Liverpool</t>
  </si>
  <si>
    <t>Milton, JD (corresponding author), Univ Liverpool, Dept Med, Gastroenterol Res Grp, Liverpool L69 3GA, Merseyside, England.</t>
  </si>
  <si>
    <t>Rhodes, Jonathan M/C-2496-2009; Fernig, David G/A-3590-2008</t>
  </si>
  <si>
    <t>Fernig, David G/0000-0003-4875-4293</t>
  </si>
  <si>
    <t>0282-0080</t>
  </si>
  <si>
    <t>GLYCOCONJUGATE J</t>
  </si>
  <si>
    <t>Glycoconjugate J.</t>
  </si>
  <si>
    <t>10.1023/A:1019655303395</t>
  </si>
  <si>
    <t>580UF</t>
  </si>
  <si>
    <t>WOS:000177253600007</t>
  </si>
  <si>
    <t>Korovchinsky, NM</t>
  </si>
  <si>
    <t>Review of sididae (Crustacea: Cladocera: Ctenopoda) of the Pacific Ocean Islands, with description of a new species of Diaphanosoma from West Samoa</t>
  </si>
  <si>
    <t>Sididae; Pacific Islands; West Samoa; Diaphanosoma; new species; Latonopsis; distribution; dispersion</t>
  </si>
  <si>
    <t>SUB-ANTARCTIC ISLANDS; CALDERA LAKE; NEW-GUINEA; CHYDORIDAE; REVISION; WISDOM</t>
  </si>
  <si>
    <t>Review of the Sididae of the Pacific Ocean islands revealed only three species (Diaphanosoma sarsi s. l., Latonopsis australis s.l., and L. brehmi) so far known from New Caledonia, Vanuatu (New Hebrides), Fiji, Guam Island, and Hawaii. Study of museum and other additional material made it possible to describe a new species, D. samoaensis, from West Samoa, the first record of an endemic sidid on a small ocean island. Its mode of speciation is discussed.</t>
  </si>
  <si>
    <t>Russian Acad Sci, AN Severtsov Inst Ecol &amp; Evolut, Moscow 117071, Russia</t>
  </si>
  <si>
    <t>Russian Academy of Sciences; Saratov Scientific Center of the Russian Academy of Sciences; Severtsov Institute of Ecology &amp; Evolution</t>
  </si>
  <si>
    <t>Russian Acad Sci, AN Severtsov Inst Ecol &amp; Evolut, Leninsky Prospect 33, Moscow 117071, Russia.</t>
  </si>
  <si>
    <t>nmkor@orc.ru</t>
  </si>
  <si>
    <t>1573-5117</t>
  </si>
  <si>
    <t>10.1023/A:1011981332027</t>
  </si>
  <si>
    <t>511CQ</t>
  </si>
  <si>
    <t>WOS:000173247400016</t>
  </si>
  <si>
    <t>Ruggieri, M; Falzini, S; Saggese, E; Corbelli, F; Bonifazi, C</t>
  </si>
  <si>
    <t>Data collection from the Antarctic region through a W-band low Earth orbit satellite</t>
  </si>
  <si>
    <t>INTERNATIONAL JOURNAL OF SATELLITE COMMUNICATIONS</t>
  </si>
  <si>
    <t>LEO/GEO system architecture; high volume data collection; W-band links; Antarctic region</t>
  </si>
  <si>
    <t>NETWORKS; SYSTEMS</t>
  </si>
  <si>
    <t>The DAVID (DAta and Video Interactive Distribution) mission is being carried out in the framework of the Science Small Missions Program of the Italian Space Agency. The mission is aimed at the deployment of two scientific telecommunication experiments through a low Earth orbit (LEO) satellite. The paper will focus on one of these experiments, that will test a satellite system architecture for the exchange of a large amount of data and high definition images through a W-band link and a Ka-band inter-satellite link between the LEO and the ARTEMIS satellite, The proposed architecture, that will explore various innovative aspects, will also allow for the first time the distribution of large volumes of scientific data collected from the Antarctic region and other extremely remote areas of the Earth. The availability of a return link in the envisaged system will also allow interactive control of the various laboratories located in the remote sites. Copyright (C) 2001 John Wiley &amp; Sons, Ltd.</t>
  </si>
  <si>
    <t>Univ Roma Tor Vergata, Dipartimento Ingn Elettron, I-00133 Rome, Italy; Space Engn SpA, Rome, Italy; ENEA, PNRA, Rome, Italy; Agenzia Spaziale Italiana, Rome, Italy</t>
  </si>
  <si>
    <t>University of Rome Tor Vergata; Italian National Agency New Technical Energy &amp; Sustainable Economics Development; Agenzia Spaziale Italiana (ASI)</t>
  </si>
  <si>
    <t>Ruggieri, M (corresponding author), Univ Roma Tor Vergata, Dipartimento Ingn Elettron, Via Tor Vergata, I-00133 Rome, Italy.</t>
  </si>
  <si>
    <t>JOHN WILEY &amp; SONS LTD</t>
  </si>
  <si>
    <t>W SUSSEX</t>
  </si>
  <si>
    <t>BAFFINS LANE CHICHESTER, W SUSSEX PO19 1UD, ENGLAND</t>
  </si>
  <si>
    <t>0737-2884</t>
  </si>
  <si>
    <t>INT J SATELL COMMUN</t>
  </si>
  <si>
    <t>Int. J. Satell. Commun.</t>
  </si>
  <si>
    <t>10.1002/sat.684</t>
  </si>
  <si>
    <t>Engineering, Aerospace; Telecommunications</t>
  </si>
  <si>
    <t>Engineering; Telecommunications</t>
  </si>
  <si>
    <t>458RN</t>
  </si>
  <si>
    <t>WOS:000170208500003</t>
  </si>
  <si>
    <t>Humphry, DR; George, A; Black, GW; Cummings, SP</t>
  </si>
  <si>
    <t>Flavobacterium frigidarium sp nov., an aerobic, psychrophilic, xylanolytic and laminarinolytic bacterium from Antarctica</t>
  </si>
  <si>
    <t>Flavobacterium frigidarium; psychrophilic; xylanolytic; laminarinolytic; halotolerant</t>
  </si>
  <si>
    <t>POLYUNSATURATED FATTY-ACIDS; GEN. NOV.; FLEXIBACTER-PSYCHROPHILUS; FAMILY FLAVOBACTERIACEAE; DEOXYRIBONUCLEIC-ACID; RENATURATION RATES; DNA HYBRIDIZATION; COMB. NOV; ENZYMES; RECLASSIFICATION</t>
  </si>
  <si>
    <t>A psychrophilic. aerobic bacterium designated A2i(T) was isolated from marine sediment recovered from shallow waters surrounding Adelaide Island, Antarctica (67 degrees 34 ' S, 68 degrees 07 ' W), The organism exhibited xylanolytic and laminarinolytic activity and was halotolerant. Basic characterization showed that it was Gram-negative, non-motile, yellow-pigmented (beta,beta -carotene-3,3 ' -diol) and positive for oxidase and catalase synthesis. Analysis of the 16S rDNA sequence suggests that the organism belongs to the Flexibacter-Cytophaga-Bacteroides phylum. On the basis of its 16S rDNA sequence, the bacterium is 96.8% similar to Flavobacterium columnare ATCC 43622 - its closest relation. The genomic DNA G+C content was 35 mol%, Growth on xylan occurs optimally at 15 degreesC, though growth also occurs at 0 degreesC, and the doubling times are 9.6 and 34.8 h, respectively, The maximum growth temperature on xylan is at 24 OC, The bacterium is a neutrophile. growing across the ph range 5.6-8.4 and having an optimum at ph 7.5. Analysis of the 16S rDNA sequence, together with phenotypic characterization. suggests that the organism is a member of the genus Flavobacterium, DNA-DNA hybridization experiments have shown that it is a novel species; it is proposed, therefore, that the organism be designated as the type strain of Flavobacterium frigidarium sp, nov. (= ATCC 700810(T) = NCIMB 13737(T)).</t>
  </si>
  <si>
    <t>Univ Sunderland, Sch Sci, Sunderland SR1 3SD, Tyne &amp; Wear, England; British Antarctic Survey, NERC, Cambridge CB3 0ET, England; Northumbria Univ, Sch Appl &amp; Mol Sci, Newcastle Upon Tyne NE1 8ST, Tyne &amp; Wear, England</t>
  </si>
  <si>
    <t>University of Sunderland; UK Research &amp; Innovation (UKRI); Natural Environment Research Council (NERC); NERC British Antarctic Survey; Northumbria University</t>
  </si>
  <si>
    <t>Cummings, SP (corresponding author), Univ Sunderland, Sch Sci, Sunderland SR1 3SD, Tyne &amp; Wear, England.</t>
  </si>
  <si>
    <t>stephen.cummings@sunderland.ac.uk</t>
  </si>
  <si>
    <t>Cummings, Stephen/D-4622-2012; Cummings, Stephen/S-8336-2018</t>
  </si>
  <si>
    <t>Black, Gary/0000-0003-3697-0714; Cummings, Stephen/0000-0001-5298-2075; George, Andrew/0000-0002-2866-0241</t>
  </si>
  <si>
    <t>MARLBOROUGH HOUSE, BASINGSTOKE RD, SPENCERS WOODS, READING RG7 1AG, BERKS, ENGLAND</t>
  </si>
  <si>
    <t>10.1099/00207713-51-4-1235</t>
  </si>
  <si>
    <t>454HE</t>
  </si>
  <si>
    <t>WOS:000169966500001</t>
  </si>
  <si>
    <t>Hoyles, L; Foster, G; Falsen, E; Thomson, LF; Collins, MD</t>
  </si>
  <si>
    <t>Facklamia miroungae sp nov., from a juvenile southern elephant seal (Mirounga leonina)</t>
  </si>
  <si>
    <t>taxonomy; phylogeny; Facklamia miroungae; 16S rRNA</t>
  </si>
  <si>
    <t>HUMAN CLINICAL SPECIMENS</t>
  </si>
  <si>
    <t>An unusual Gram-positive, catalase-negative, facultatively anaerobic, coccus-shaped organism that originated from a juvenile elephant seal was characterized by phenotypic and molecular taxonomic methods. Comparative 16S rRNA gene sequencing showed that the unknown coccus represents a new subline within the genus Facklamia, The unknown strain was readily distinguishable from all currently recognized species of the genus Facklamia (Facklamia hominis, Facklamia languida, Facklamia ignava, Facklamia sourekii and Facklamia tabacinasalis) by biochemical tests and electrophoretic analysis of whole-cell proteins. Based on phylogenetic and phenotypic evidence, it is proposed that the unknown bacterium be classified as Facklamia miroungae sp, nov. The type strain of F. miroungae is CCUG 42728(T) (= CIP 106764(T)). F, miroungae is the first member of the genus Facklamia to be isolated from an animal other than man.</t>
  </si>
  <si>
    <t>Univ Reading, Sch Food Biosci, Reading RG6 6AP, Berks, England; SAC Vet Sci Div, Inverness, Scotland; Univ Gothenburg, Dept Clin Bacteriol, Culture Collect, Gothenburg, Sweden; British Antarctic Survey, Plymouth, Devon, England</t>
  </si>
  <si>
    <t>University of Reading; Scottish Agricultural College; University of Gothenburg; UK Research &amp; Innovation (UKRI); Natural Environment Research Council (NERC); NERC British Antarctic Survey</t>
  </si>
  <si>
    <t>Collins, MD (corresponding author), Univ Reading, Sch Food Biosci, POB 226, Reading RG6 6AP, Berks, England.</t>
  </si>
  <si>
    <t>Hoyles, Lesley/N-9847-2015</t>
  </si>
  <si>
    <t>Hoyles, Lesley/0000-0002-6418-342X; Foster, Geoffrey/0000-0002-5527-758X</t>
  </si>
  <si>
    <t>10.1099/00207713-51-4-1401</t>
  </si>
  <si>
    <t>WOS:000169966500021</t>
  </si>
  <si>
    <t>Koshlyakov, MN; Sazhina, TG; Gol'din, AY</t>
  </si>
  <si>
    <t>Pacific Antarctic cell of the global oceanic conveyer</t>
  </si>
  <si>
    <t>NORTH-ATLANTIC; THERMOHALINE CIRCULATION; BOTTOM WATER; SEA; VENTILATION; MODEL</t>
  </si>
  <si>
    <t>Conductivity-temperature-depth (CTD) sounding of the ocean and direct measurements of the upper-ocean currents performed in February-March 1992 at a section along 67 degrees S in the Pacific Antarctic revealed a meridiovertical cell of the global oceanic conveyer in this region. In the cell field, water is transported it a flow rate of 8 x 10(6) m(3)/s toward Antarctica within the upper ocean and in the reverse direction within its lower layer. Due to a general decrease in water temperature with depth, an amount of heat (transferred toward Antarctica) equal to 1.2 x 10(11) J/yr corresponds to this cell. and this amount is sufficient to compensate for the heat annually released by the ocean to the atmosphere over the Pacific Antarctic. The revealed Pacific Antarctic cell falls naturally into a general scheme of the global oceanic conveyer.</t>
  </si>
  <si>
    <t>Koshlyakov, MN (corresponding author), Russian Acad Sci, PP Shirshov Oceanol Inst, Nakhimovskii Pr 36, Moscow 117851, Russia.</t>
  </si>
  <si>
    <t>464RQ</t>
  </si>
  <si>
    <t>WOS:000170545900011</t>
  </si>
  <si>
    <t>Pant, TK; Sridharan, R</t>
  </si>
  <si>
    <t>Seasonal dependence of the response of the low latitude thermosphere for external forcings</t>
  </si>
  <si>
    <t>ring current; D-st; MSIS model; thermosphere</t>
  </si>
  <si>
    <t>ANTARCTIC F-REGION; GEOMAGNETIC STORMS; MAGNETIC STORM; DISTURBED CONDITIONS; UPPER-ATMOSPHERE; ELECTRIC-FIELDS; MARCH 22; DYNAMICS; TEMPERATURE; IONOSPHERE</t>
  </si>
  <si>
    <t>Using the in situ measured neutral temperatures: by the DE-2 satellite. the D-st geomagnetic index which is a measure of the intensity of earth's ring current along with the MSIS model predictions, the low latitude thermosphere has: been shown to have a delayed response to any energy input over polar regions with the time delay revealing a seasonal dependence. The response time has been observed to vary between 8 and 20 h from summer to winter. Interestingly, the response sensitivity of the thermosphere for any change in D-st index remained nearly the same throughout the year implying other forcings to he responsible for the observed seasonal dependence. These aspects are presented and discussed. (C) 2001 Elsevier Science Ltd. All rights reserved.</t>
  </si>
  <si>
    <t>Phys Res Lab, Ahmadabad 380009, Gujarat, India; Space Phys Lab, Thiruvananthapuram 695022, Kerala, India</t>
  </si>
  <si>
    <t>Department of Space (DoS), Government of India; Physical Research Laboratory - India</t>
  </si>
  <si>
    <t>Pant, TK (corresponding author), Univ Toronto, Dept Phys, 60 St George St,Room 717, Toronto, ON M5S 1A7, Canada.</t>
  </si>
  <si>
    <t>tarun@prl.ernet.in; r_sridharan@vssc.org</t>
  </si>
  <si>
    <t>Pant, Tarun Kumar/0000-0002-9497-8848</t>
  </si>
  <si>
    <t>1879-1824</t>
  </si>
  <si>
    <t>10.1016/S1364-6826(01)00011-6</t>
  </si>
  <si>
    <t>448VZ</t>
  </si>
  <si>
    <t>WOS:000169651800002</t>
  </si>
  <si>
    <t>Watkins, NW; Clilverd, MA; Smith, AJ; Rodger, CJ; Bharmal, NA; Yearby, KH</t>
  </si>
  <si>
    <t>Lightning atmospherics count rates observed at Halley, Antarctica</t>
  </si>
  <si>
    <t>lightning; radio propagation; VLF</t>
  </si>
  <si>
    <t>NOISE; KHZ</t>
  </si>
  <si>
    <t>Lightning is considered to be a sensitive indicator of global change in the troposphere. In this paper we report the first results from the lightning atmospherics (sferics) counter deployed as part of the VELOX II experiment at Halley Station, Antarctica (76 degreesS, 27 degreesW). We present examples of high-resolution and survey data for the instrument from its deployment in April 1997 up to March 1998. We show that 10ms time resolution causes saturation effects in the data when the activity level is high. However, we show how a simple simulation algorithm is used both to calibrate the system and to model the observed response to a high level of accuracy. We show evidence of a departure of the distribution of VLF noise amplitudes in the high-resolution time series produced for the model from the lognormal form assumed by many authors and in the design of the present instrument. Comparison is also made with a Rayleigh distribution. We compare the corrected hash rate with lightning power measurements, indicating that previous estimates of long-term changes in sferic power made from Halley are consistent with less than 5% change in flash rate in 25 years. (C) 2001 Elsevier Science Ltd. All rights reserved.</t>
  </si>
  <si>
    <t>British Antarctic Survey, NERC, Cambridge CB3 0ET, England; Univ Sheffield, Dept Automat Control &amp; Syst Engn, Sheffield S1 3JD, S Yorkshire, England</t>
  </si>
  <si>
    <t>Watkins, Nicholas Wynn/C-5140-2008; Rodger, Craig/A-1501-2011; Watkins, Nick/GPX-7439-2022</t>
  </si>
  <si>
    <t>Watkins, Nicholas Wynn/0000-0003-4484-6588; Watkins, Nick/0000-0003-4484-6588; Rodger, Craig J./0000-0002-6770-2707</t>
  </si>
  <si>
    <t>10.1016/S1364-6826(01)00009-8</t>
  </si>
  <si>
    <t>WOS:000169651800003</t>
  </si>
  <si>
    <t>Carpenter, DL; Smith, AJ</t>
  </si>
  <si>
    <t>The study of bulk plasma motions and associated electric fields in the plasmasphere by means of whistler-mode signals</t>
  </si>
  <si>
    <t>whistlers; electric fields; magnetospheric convection; wave propagation; signal processing; remote sensing</t>
  </si>
  <si>
    <t>COUPLING FLUXES; VLF TRANSMITTER; FREQUENCY-SHIFT; IONOSPHERE</t>
  </si>
  <si>
    <t>Whistler-mode waves propagating to ground stations along geomagnetic-field-aligned paths provide powerful tools for investigating bulk motions of the magnetospheric plasma and thus the corresponding convection electric fields. Natural whistlers from lightning as well as signals from very low frequency (VLF) transmitters have been employed. The whistler method emphasizes measurement of temporal variations in the frequency versus time- or dispersion, properties of whistlers, while the transmitter method focuses upon measurement of the phase and group paths of fixed-frequency signal propagation. The methods depend upon wave properties that are sensitive to inhomogeneities in the geomagnetic field, and thus provide information on what are essentially cross-L plasma motions in a frame of reference rotating with the Earth. In addition, whistler data on the duskside plasmasphere bulge have been used to estimate values of the radial convection electric field (GSE Y direction) near dusk. In this topical review we discuss the development, beginning in the 1960s, of the whistler and transmitter methods, as well as a few of their geophysical applications. Whistlers have provided substantial new information on the spatially and temporally structured manner in which convection electric fields penetrate the plasmasphere- one example being the still unexplained reversal from inward to outward of the post-midnight radial how direction following temporally isolated substorms. Whistlers have also been useful in identifying the plasmaspheric drifts associated with quiet-day electric fields of ionospheric dynamo origin and in showing that the E-y (duskward), component of the convection electric field in the outer plasmasphere is substantially larger near dusk than it is near mid-night. Whistler-mode signals from transmitters have been found to be a powerful means of tracking cross-L motions in the plasmasphere near L = 2.5 while separately identifying the effects of interchange fluxes with the ionosphere on the signal phase and group paths. (C) 2001 Elsevier Science Ltd. All rights reserved.</t>
  </si>
  <si>
    <t>Stanford Univ, Star Lab, EE Dept, Stanford, CA 94305 USA; British Antarctic Survey, Cambridge CB3 0ET, England</t>
  </si>
  <si>
    <t>Stanford University; UK Research &amp; Innovation (UKRI); Natural Environment Research Council (NERC); NERC British Antarctic Survey</t>
  </si>
  <si>
    <t>Carpenter, DL (corresponding author), Stanford Univ, Star Lab, EE Dept, Packard Bldg, Stanford, CA 94305 USA.</t>
  </si>
  <si>
    <t>dlc@nova.stanford.edu; a.j.smith@bas.ac.uk</t>
  </si>
  <si>
    <t>10.1016/S1364-6826(00)00217-0</t>
  </si>
  <si>
    <t>451LE</t>
  </si>
  <si>
    <t>WOS:000169802900003</t>
  </si>
  <si>
    <t>Smith, AJ</t>
  </si>
  <si>
    <t>Whistler observations of the plasmasphere/plasmapause from stations of the British Antarctic Survey</t>
  </si>
  <si>
    <t>whistlers; plasmasphere; plasmapause</t>
  </si>
  <si>
    <t>ELECTRON-DENSITY; FINE-STRUCTURE; PLASMAPAUSE; MAGNETOSPHERE; FIELDS</t>
  </si>
  <si>
    <t>VLF whistler observations from Eights Station, Antarctica were crucial to the discovery and exploration of the plasmapause (Carpenter's knee) by Don Carpenter in the mid-1960s. The Weddell Sea sector of Antarctica is particularly well suited to such work because of the high whistler rate (conjugate to thunderstorm regions), proximity to the ground footprint of the average plasmapause, low electromagnetic noise levels (far from power lines, etc.), low ionospheric absorption tin winter), and wave amplification due to the South Atlantic Geomagnetic Anomaly. VLF recordings have been made at Halley, Antarctica, (76 degreesS, 27 degreesW, L similar to4.3) since 1967; the station is located on a similar L-shell to Eights and its successor Siple, but eastward in longitude by about 2 h in magnetic local time. In this paper, we review some of the research on the structure and dynamics of the plasmasphere/plasmapause which has been based on whistler data from Halley. In particular, the use of Halley and Siple as a station pair corotating with the Earth through the Sun-Earth frame has enabled the complex dynamics of the duskside bulge region to be better understood. For example, features consistent with narrow dense sunward-pointing plasma tails, have been delineated. Whistler data from Halley have also provided much information on fine structure within the plasmasphere. The paper discusses some important results of inner plasmaspheric probing using fixed-frequency (similar to 20 kHz) whistler data from the lower latitude Faraday station(65 degreesS, 64 degreesW,L similar to2.3), including annual density variations and magnetic storm effects, and concludes by indicating some directions for the future. (C) 2001 Elsevier Science Ltd. All rights reserved.</t>
  </si>
  <si>
    <t>Smith, AJ (corresponding author), British Antarctic Survey, Madingley Rd, Cambridge CB3 0ET, England.</t>
  </si>
  <si>
    <t>10.1016/S1364-6826(00)00219-4</t>
  </si>
  <si>
    <t>WOS:000169802900005</t>
  </si>
  <si>
    <t>Koustov, AV; Igarashi, K; André, D; Ohtaka, K; Sato, N; Yamagishi, H; Yukimatu, A</t>
  </si>
  <si>
    <t>Observations of 50-and 12-MHz auroral coherent echoes at the Antarctic Syowa station</t>
  </si>
  <si>
    <t>REGION PLASMA IRREGULARITIES; IONOSPHERIC IRREGULARITIES; HF RADAR; ELECTROJET IRREGULARITIES; EQUATORIAL ELECTROJET; HIGH-LATITUDES; BACKSCATTER; DEPENDENCE; ANGLE; DENSITY</t>
  </si>
  <si>
    <t>Data on 50- and 12-MHz E region coherent echoes from approximately the same directions and in a broad range of azimuths are available for 1995-1997 radar observations at the Antarctic Syowa station, One event of such observations is considered to compare power and Doppler velocity of echoes at these significantly different frequencies. For the considered event, Doppler velocities of more than 600 ms(-1) (as recorded at both radar frequencies) were observed. We show that even though the 50-MHz echoes exhibit strong flow angle variation of the power, the 12-MHz echoes do not, Apparent aspect angle power attenuation is found to be 10 and 2.5 dBdeg(-1) at 50 and 12 MHz, respectively. Measured Doppler velocities along specific radar directions are found to be comparable in spite of the significant difference in radar frequencies, with the velocity ratio V-50MHz/V-12MHz being in between 1.6 and 0.9 for high velocities of more than 400 ms(-1). The velocity ratio varies with slant range and azimuth of observations. Ionospheric propagation effects for radio waves and plasma physical effects for irregularities are considered in an attempt to explain several observed features, for example, the echo power and velocity ratio variations with slant range.</t>
  </si>
  <si>
    <t>Univ Saskatchewan, Inst Space &amp; Atmospher Studies, Saskatoon, SK S7N 5E2, Canada; Commun Res Lab, Tokyo 1848795, Japan; Natl Inst Polar Res, Tokyo 1738515, Japan</t>
  </si>
  <si>
    <t>University of Saskatchewan; National Institute of Information &amp; Communications Technology (NICT) - Japan; Research Organization of Information &amp; Systems (ROIS); National Institute of Polar Research (NIPR) - Japan</t>
  </si>
  <si>
    <t>Univ Saskatchewan, Inst Space &amp; Atmospher Studies, 116 Sci Pl, Saskatoon, SK S7N 5E2, Canada.</t>
  </si>
  <si>
    <t>koustov@dansas.usask.ca</t>
  </si>
  <si>
    <t>A7</t>
  </si>
  <si>
    <t>10.1029/2000JA000165</t>
  </si>
  <si>
    <t>446VT</t>
  </si>
  <si>
    <t>WOS:000169535400011</t>
  </si>
  <si>
    <t>Lam, MM; Rodger, AS</t>
  </si>
  <si>
    <t>A case study test of Araki's physical model of geomagnetic sudden commencement</t>
  </si>
  <si>
    <t>IONOSPHERIC ELECTRODYNAMICS TECHNIQUE; CONVECTION RESPONSE; AURORAL OVAL</t>
  </si>
  <si>
    <t>This paper tests the Araki [1994] computational model of the Earth-ionosphere system during geomagnetic sudden commencement (sc). In particular, we test the model's ability to predict the signs of the preliminary and main impulses, given the latitude and the magnetic local time (MLT), using a case study of an sc which occurred at 0949 UT on November 22, 1997. Data from a global network of magnetometer stations and from satellites are used. Model predictions compare well with the case study data at high latitudes (above similar to 72 degreesN Altitude Adjusted Corrected Geomagnetic Coordinates (AACGM)), less well for lower latitudes, particularly on the nightside. In addition, the position of the footprints of the field-aligned currents (FACs) associated with the sc ground signature varies with MLT, contrary to the model. Data from satellites in polar and geostationary orbits suggest that the FACs for both the preliminary and the main impulses map to gradients in magnetospheric plasma concentration, such as the outer radiation belt and the plasmapause.</t>
  </si>
  <si>
    <t>Lam, MM (corresponding author), British Antarctic Survey, NERC, High Cross,Madingley Rd, Cambridge CB3 0ET, England.</t>
  </si>
  <si>
    <t>M.Lam@bas.ac.uk; A.S.Rodger@bas.ac.uk</t>
  </si>
  <si>
    <t>10.1029/2000JA900134</t>
  </si>
  <si>
    <t>WOS:000169535400031</t>
  </si>
  <si>
    <t>Meredith, NP; Horne, RB; Anderson, RR</t>
  </si>
  <si>
    <t>Substorm dependence of chorus amplitudes: Implications for the acceleration of electrons to relativistic energies</t>
  </si>
  <si>
    <t>ENERGETIC ELECTRONS; RADIATION BELT; INNER MAGNETOSPHERE; MAGNETIC STORMS; WAVE ACTIVITY; SOLAR-WIND; CRRES; DIFFUSION; MODEL</t>
  </si>
  <si>
    <t>Intense interest currently exists in determining the roles played by various wave-particle interactions in the acceleration of electrons to relativistic energies during/following geomagnetic storms. Here we present a survey of wave data from the CRRES Plasma Wave Experiment for lower band (0.1-0.5f(ce)) and upper band (0.5-1.0f(ce)) chorus, f(ce) being the electron gyrofrequency, to assess whether these waves could play an important role in the acceleration of a seed population of electrons to relativistic energies during and following geomagnetic storms. Outside of the plasmapause the chorus emissions are largely substorm-dependent, and all chorus emissions are enhanced when substorm activity is enhanced. The equatorial chorus (/ lambda (m) / &lt; 15 degrees) is strongest in the lower band during active conditions (AE &gt; 300 nT) with average amplitudes typically &gt;0.5 mV m(-1) predominantly in the region 3 &lt; L &lt; 7, between 2300 and 1300 magnetic local time (MLT). This is consistent with electron injection near midnight and subsequent drift around dawn to the dayside. The high-latitude chorus (/X/ &gt; 15 degrees) is strongest in the lower band during active conditions, with average amplitudes typically &gt;0.5 mV m(-1) in the region 3 &lt; L &lt; 7 over a range of local times on the dayside, principally in the range 0600-1500 MLT, Consistent with wave generation in the horns of the magnetosphere. An inner population of weak, substorm-independent emissions with average amplitudes generally &lt; 0.2 mV m(-1) are seen in both bands largely inside L = 4 on the nightside during quiet (AE &lt; 100 nT) and moderate (100 nT &lt; AE &lt; 300 nT) conditions. These emissions lie inside the plasmapause and are attributed to signals from lightning and ground-based VLF transmitters. We conclude that the significant increases in chorus amplitudes seen outside of the plasmapause during substorms support the theory of electron acceleration by whistler mode chorus in that region. The results suggest that electron acceleration by whistle mode chorus during/following geomagnetic storms can only be effective when there are periods of prolonged substorm activity following the main phase of the geomagnetic storm.</t>
  </si>
  <si>
    <t>UCL, Mullard Space Sci Lab, Dorking RH5 6NT, Surrey, England; British Antarctic Survey, NERC, Cambridge CB3 0ET, England; Univ Iowa, Dept Phys &amp; Astron, Iowa City, IA 52242 USA</t>
  </si>
  <si>
    <t>University of London; University College London; UK Research &amp; Innovation (UKRI); Natural Environment Research Council (NERC); NERC British Antarctic Survey; University of Iowa</t>
  </si>
  <si>
    <t>UCL, Mullard Space Sci Lab, Holmbury St Mary, Dorking RH5 6NT, Surrey, England.</t>
  </si>
  <si>
    <t>npm@mssl.ucl.ac.uk; r.horne@bas.ac.uk; roger-r-anderson@uiowa.edu</t>
  </si>
  <si>
    <t>Meredith, Nigel P/C-5806-2018; Horne, Richard B/U-3764-2019</t>
  </si>
  <si>
    <t>Horne, Richard B/0000-0002-0412-6407; Meredith, Nigel/0000-0001-5032-3463</t>
  </si>
  <si>
    <t>10.1029/2000JA900156</t>
  </si>
  <si>
    <t>WOS:000169535400033</t>
  </si>
  <si>
    <t>Kirchhoff, VWJH; Echer, E</t>
  </si>
  <si>
    <t>Erythema UV-B exposure near the Antarctic Peninsula and comparison with an equatorial site</t>
  </si>
  <si>
    <t>UV-B radiation; Antarctic Peninsula; UV-B enhancements</t>
  </si>
  <si>
    <t>ULTRAVIOLET-RADIATION ENVIRONMENT; PUNTA-ARENAS; TOTAL OZONE; CHILE</t>
  </si>
  <si>
    <t>Observations of UV-B radiation in the area of the Antarctic Peninsula are described, with the objective to obtain an evaluation of the UV-B enhancements observed during ozone hole episodes, and compare these with equatorial values. The enhancements observed during Southern Hemisphere spring are described in terms of a specific case of enhancement, at the Antarctic peninsula, which has shown a maximum UV-B index of 8.7, in October 1998. The average enhancement between the autumn-unperturbed and spring-perturbed periods results in an UV-B index of 5.4. but with large fluctuations in which much larger indices are produced. These values are compared to indices normally observed in the equatorial region. For measurements obtained with the same kind of instrument at Natal (5.8 degreesS, 35.2 degreesW), the UV-B index varies between 7 and 14, which means that enhanced UV-B indices in the Antarctic Peninsula may become of the same order of magnitude of the lower limit equatorial values. (C) 2001 Elsevier Science BY All rights reserved.</t>
  </si>
  <si>
    <t>Inst Nacl Pesquisas Espaciais, Grad Sch, BR-12201970 Sao Paulo, Brazil; Inst Nacl Pesquisas Espaciais, BR-12201970 Sao Paulo, Brazil</t>
  </si>
  <si>
    <t>Instituto Nacional de Pesquisas Espaciais (INPE); Instituto Nacional de Pesquisas Espaciais (INPE)</t>
  </si>
  <si>
    <t>Kirchhoff, VWJH (corresponding author), Inst Nacl Pesquisas Espaciais, S Jose Campos, BR-12201970 Sao Paulo, Brazil.</t>
  </si>
  <si>
    <t>kir@dir.inpe.br</t>
  </si>
  <si>
    <t>10.1016/S1011-1344(01)00131-2</t>
  </si>
  <si>
    <t>465CG</t>
  </si>
  <si>
    <t>WOS:000170571600005</t>
  </si>
  <si>
    <t>Blum, MD; Misner, TJ; Collins, ES; Scott, DB; Morton, RA; Aslan, A</t>
  </si>
  <si>
    <t>Middle Holocene sea-level rise and highstand at+2 m, central Texas coast</t>
  </si>
  <si>
    <t>LAST GLACIAL MAXIMUM; ANTARCTIC ICE-SHEET; LATE PLEISTOCENE; SOUTHWEST FLORIDA; COLORADO RIVER; RECORD; HISTORY; PLAIN; RECONSTRUCTION; SEDIMENTATION</t>
  </si>
  <si>
    <t>New data suggest a revised picture of middle Holocene sealevel change for the Texas Gulf of Mexico coast, and suggest reevaluation of coastal evolution. First, brackish marsh facies with calibrated radiocarbon ages of 7.7 to 7.8 ka have been recovered from depths of -8.5 to -9 m in a core from the ancestral Colorado River delta, and are interpreted to represent a sea-level pinning point. Second, a series of ridges along the Copano Bay margin farther south consist of shelly mud and fine sand with subtidal foram assemblages, occur at elevations of 1.95 m above the modern intertidal zone, and have produced calibrated radiocarbon ages on foram tests of ca, 6.8 to 4.8 ha, These ridges are interpreted to represent relict shallow subtidal to intertidal spits that provide minimum sea-level positions for the middle Holocene, and are now emergent because of later sea-level fall, In aggregate, these data show rates of sea-level rise during this time period that are very comparable to, or even lower than, published eustatic rates, and suggest a middle Holocene sea-level highstand for this non-uplifting, non-rebounding, and very slowly subsiding part of the North American coastline.</t>
  </si>
  <si>
    <t>Univ Nebraska, Dept Geosci, Lincoln, NE 68588 USA; Dalhousie Univ, Ctr Marine Geol, Halifax, NS B3H 3J5, Canada; US Geol Survey, Ctr Coastal Geol, St Petersburg, FL 33701 USA; Mesa State Coll, Dept Phys &amp; Environm Sci, Grand Junction, CO 81501 USA</t>
  </si>
  <si>
    <t>University of Nebraska System; University of Nebraska Lincoln; Dalhousie University; United States Department of the Interior; United States Geological Survey</t>
  </si>
  <si>
    <t>Blum, MD (corresponding author), Univ Nebraska, Dept Geosci, Lincoln, NE 68588 USA.</t>
  </si>
  <si>
    <t>B</t>
  </si>
  <si>
    <t>10.1306/112100710581</t>
  </si>
  <si>
    <t>451JT</t>
  </si>
  <si>
    <t>WOS:000169799500007</t>
  </si>
  <si>
    <t>Glasser, NF; Hambrey, MJ</t>
  </si>
  <si>
    <t>Styles of sedimentation beneath Svalbard valley glaciers under changing dynamic and thermal regimes</t>
  </si>
  <si>
    <t>Svalbard; glacial sedimentation; dynamics; thermal regime; mass balance</t>
  </si>
  <si>
    <t>ANTARCTIC ICE STREAM; MASS-BALANCE; STRUCTURAL EVOLUTION; SUBGLACIAL GEOLOGY; MORAINE COMPLEX; DEBRIS; DEFORMATION; LANDFORM; SURGE; KONGSFJORDEN</t>
  </si>
  <si>
    <t>Glacier beds provide crucial information concerning past and present ice dynamics and thermal regime. In this paper we present structural and sedimentological data from four valley glaciers (Austre Lovenbleen, Midtre Lovenbreen, Vestre Lovenbreen and Austre Broggerbreen) on Broggerhalvoya, NW Spitsbergen. The main focus of this paper is Midtre and Austre Lovenbreen, two typical High-Arctic land-based polythermal valley glaciers; the former has a long record of documentation regarding its response to twentieth century climatic warming. Structural mapping on the glacier surface and analysis of sediments in the proglacial area of Midtre Lovenbreen indicate that the dynamic regime and thermal structure of the glacier have changed through time. Dynamically, Midtre Lovenbreen was once heavily crevassed and relatively fast moving, but now is virtually crevasse-free and slow moving. The sedimentary record indicates that extensive areas of this glacier were wet-based when it was in a more advanced state, probably at its Neoglacial maximum (late nineteenth/early twentieth centuries). During this advance, a thin deforming layer of diamicton, commonly fluted, was draped over the existing morphology in the presently exposed proglacial area. This morphology consisted of large streamlined ridges aligned parallel to ice flow. Erosion of the underlying bedrock appears to have been limited. Radio-echo soundings of the glacier show that, at present, it is characterized by a polythermal basal thermal regime, with wet-based subglacial conditions only beneath its thicker parts. Modification of the bed is limited under this thermal regime and, as a result, the supraglacial environment dominates modern sedimentation. Comparative studies on Austre Lovenbreen, which also is probably polythermal, indicate similar sedimentary characteristics and facies associations, although here there are much more extensive areas of striated bedrock indicative of former basal sliding. In contrast both Austre Broggerbreen and, by analogy, Vestre Lovenbreen are known to be predominantly cold-based. Collectively, these four glaciers suggest a trend of glacier recession and thinning accompanied by a change in thermal regime from predominantly wet-based, through partly frozen, to completely frozen. This study suggests that Svalbard valley glaciers have several dynamic modes and that glaciers switch between these modes largely as a reaction to changes in mass balance.</t>
  </si>
  <si>
    <t>Univ Wales, Ctr Glaciol, Inst Geog &amp; Earth Sci, Aberystwyth SY23 3DB, Ceredigion, Wales</t>
  </si>
  <si>
    <t>Aberystwyth University</t>
  </si>
  <si>
    <t>Univ Wales, Ctr Glaciol, Inst Geog &amp; Earth Sci, Aberystwyth SY23 3DB, Ceredigion, Wales.</t>
  </si>
  <si>
    <t>nfg@aber.ac.uk</t>
  </si>
  <si>
    <t>Glasser, Neil F/C-1971-2012</t>
  </si>
  <si>
    <t>Glasser, Neil/0000-0002-8245-2670</t>
  </si>
  <si>
    <t>10.1144/jgs.158.4.697</t>
  </si>
  <si>
    <t>447PP</t>
  </si>
  <si>
    <t>WOS:000169581900012</t>
  </si>
  <si>
    <t>Falcon-Lang, HJ; Cantrill, DJ; Nichols, GJ</t>
  </si>
  <si>
    <t>Biodiversity and terrestrial ecology of a mid-Cretaceous, high-latitude floodplain, Alexander Island, Antarctica</t>
  </si>
  <si>
    <t>Albian; Antarctica; polar regions; conifers; tree rings</t>
  </si>
  <si>
    <t>NEW-ZEALAND; GROWTH RINGS; PALEOBOTANICAL EVIDENCE; ETHYLENE PRODUCTION; FOSSIL FORESTS; POLAR CLIMATES; EARLY TERTIARY; WOOD STRUCTURE; STEM ANATOMY; TREE GROWTH</t>
  </si>
  <si>
    <t>The biodiversity and terrestrial ecology of the Late Albian Triton Point Formation (Fossil Bluff Group), Alexander Island, Antarctica is analysed to improve our understanding of polar biomes during the mid-Cretaceous thermal optimum. This formation was deposited on a high-latitude (75 degreesS) floodplain and consists of two facies associations, a lower braided alluvial plain unit and an upper coastal meander-belt unit. Analysis of fossil plants in well exposed palaeosols reveals the existence of spatially complex plant communities. Braidplains supported patchy, low-density (91 trees/ha) stands of podocarp and taxodioid conifers on floodbasin substrates, and conifer-cycadophyte-fern-angiosperm thickets in riparian settings. Coastal meander-belts supported medium density (568 trees/ha) podocarp-araucarian conifer forests on mature floodbasin soils, and fern-angiosperm-ginkgo thickets in riparian settings. Growth-ring analysis indicates plants experienced stressful growing conditions on the braidplain characterized by high-frequency flood events, but more favourable growing conditions on the coastal plain. Additional vegetation disturbances were caused by arthropod-fungal attack, frost and wildfire. In terms of structure, composition, ecology and productivity these predominantly evergreen, broad-leafed conifer forests bear similarities to the extant temperate rainforests of New Zealand.</t>
  </si>
  <si>
    <t>Univ London Royal Holloway &amp; Bedford New Coll, Dept Geol, Egham TW20 0EX, Surrey, England; British Antarctic Survey, Cambridge CB3 0ET, England</t>
  </si>
  <si>
    <t>University of London; Royal Holloway University London; UK Research &amp; Innovation (UKRI); Natural Environment Research Council (NERC); NERC British Antarctic Survey</t>
  </si>
  <si>
    <t>Falcon-Lang, Howard J/D-8465-2011; Cantrill, David/R-1415-2019</t>
  </si>
  <si>
    <t>10.1144/jgs.158.4.709</t>
  </si>
  <si>
    <t>WOS:000169581900013</t>
  </si>
  <si>
    <t>Massana, R; Pedrós-Alió, C; Casamayor, EO; Gasol, JM</t>
  </si>
  <si>
    <t>Changes in marine bacterioplankton phylogenetic composition during incubations designed to measure biogeochemically significant parameters</t>
  </si>
  <si>
    <t>LIMNOLOGY AND OCEANOGRAPHY</t>
  </si>
  <si>
    <t>BACTERIAL COMMUNITY COMPOSITION; GROWTH; FILTRATION; SEA</t>
  </si>
  <si>
    <t>Bottle incubations, during which the activity and growth of prokaryotes is monitored during several days, are frequently carried out to study functional aspects of marine prokaryotic assemblages. These experiments will relate directly to in situ activities if all populations grow harmonically during the incubation. We tested whether this was the case by analyzing the composition of bacterial assemblages at the beginning and at the end of the incubation by denaturing gradient gel electrophoresis. Five experiments were done in different Antarctic regions. Bacterial assemblages north and south of the Polar Front were very different. In all cases, the final assemblages were very different from the initial ones, and these changes were often accompanied by a significant decrease of diversity indices. Our experiments included treatments with different temperature and organic matter amendments. Whereas the increase in temperature tested had a minor effect on prokaryotic growth rate and specific composition, the addition of organic matter strongly stimulated growth rate and selected a particular bacterial assemblage in some experiments but not in others. A significant component of bacterial assemblages From waters south of the Polar Front appeared to be Polari-bacter franzmannii, a gas vacuolated bacterium of the Cytophaga-Flavobacterium-Bacteroides group that was originally isolated from Antarctic sea ice. This phylotype was enriched and dominated in almost all final assemblages. Our results indicate that long-term bottle incubations mostly measure the activity of a few opportunistic bacteria and not that of the original assemblage. This should be taken into account if data obtained in these experiments are used for balancing whole ecosystem carbon budgets and to derive biogeochemical conclusions.</t>
  </si>
  <si>
    <t>CSIC, Inst Ciencies Mar, Dept Biol Marina Oceanografia, Barcelona 08039, Catalunya, Spain</t>
  </si>
  <si>
    <t>CSIC, Inst Ciencies Mar, Dept Biol Marina Oceanografia, Passeig Joan Borbo S-N, Barcelona 08039, Catalunya, Spain.</t>
  </si>
  <si>
    <t>ramonm@icm.csic.es</t>
  </si>
  <si>
    <t>Casamayor, Emilio/A-3676-2010; Massana, Ramon/F-4205-2016; Gasol, Josep M/B-1709-2008; Pedros-Alio, Carlos/H-1222-2011</t>
  </si>
  <si>
    <t>Casamayor, Emilio/0000-0001-7074-3318; Gasol, Josep M/0000-0001-5238-2387; Massana, Ramon/0000-0001-9172-5418; Pedros-Alio, Carlos/0000-0003-1009-4277</t>
  </si>
  <si>
    <t>0024-3590</t>
  </si>
  <si>
    <t>1939-5590</t>
  </si>
  <si>
    <t>LIMNOL OCEANOGR</t>
  </si>
  <si>
    <t>Limnol. Oceanogr.</t>
  </si>
  <si>
    <t>10.4319/lo.2001.46.5.1181</t>
  </si>
  <si>
    <t>Limnology; Oceanography</t>
  </si>
  <si>
    <t>453JX</t>
  </si>
  <si>
    <t>WOS:000169913700017</t>
  </si>
  <si>
    <t>Hagen, W; Kattner, G; Terbrüggen, A; Van Vleet, ES</t>
  </si>
  <si>
    <t>Lipid metabolism of the Antarctic krill Euphausia superba and its ecological implications</t>
  </si>
  <si>
    <t>SOUTHERN WEDDELL SEA; ELEMENTAL COMPOSITION; FATTY-ACID; MEGANYCTIPHANES-NORVEGICA; MICRONEKTONIC CRUSTACEA; BIOCHEMICAL-COMPOSITION; OVERWINTERING STRATEGY; ENERGETIC COST; PACK-ICE; DANA</t>
  </si>
  <si>
    <t>Various developmental stages (early larvae to adults) of Euphausia superba have been collected in different seasons in the Weddell Sea, the Lazarev Sea and off the Antarctic Peninsula to investigate the role of lipids and fatty acids in the life cycle of the Antarctic krill. The total-lipid data for E. superba exhibited seasonal variations, with low lipid levels in late winter/early spring and the highest levels in autumn. Seasonal changes were most pronounced in the immature and adult specimens. increasing from about 10% lipid of dry mass to more than 40%. The fatty-acid compositions of the younger stages were dominated by 20:5(n-3), 22:6(n-3) and 16:0. These are typical phospholipid fatty acids, which are major biomembrane constituents. The phospholipid composition was similar in the older stages. With increasing storage of triacylglycerols in the lipid-rich immature and adult stages, the fatty acids 14:0, 16:0 and 18:1(n-9) prevailed, comprising about 70% of total triacylglycerol fatty acids. The trophic-marker fatty acids 16:1(n-7) and 18:4(n-3), indicating phytoplankton ingestion, were less abundant. They reflected, however, the dependence of the larvae on phytoplankton as well as the seasonal changes in algal composition. The generally close linear relationships between fatty acids and lipid suggest that the fatty-acid compositions of the collected specimens were largely independent of the respective developmental stage, season and region. The linear fit indicates that triacylglycerol accumulation started at a level of about 5% of total lipid. Considering the various overwintering scenarios under discussion, the life cycle and reproductive strategies of krill are discussed in the context of the lipid metabolism and fatty-acid composition of E. superba. Lipid production is effective enough to accumulate large energy reserves for the dark season, but E. superba does not exhibit the sophisticated biosynthetic pathways known from other Antarctic euphausiids and copepods. Although important, lipid utilisation appears to be just one of several strategies of E. superba to thrive under the extreme Antarctic conditions, and this pronounced versatility may explain the success of this species in the Southern Ocean.</t>
  </si>
  <si>
    <t>Univ Bremen, D-28334 Bremen, Germany; Alfred Wegener Inst Polar &amp; Marine Res, D-27515 Bremerhaven, Germany; Univ S Florida, Dept Marine Sci, St Petersburg, FL 33701 USA</t>
  </si>
  <si>
    <t>University of Bremen; Helmholtz Association; Alfred Wegener Institute, Helmholtz Centre for Polar &amp; Marine Research; State University System of Florida; University of South Florida</t>
  </si>
  <si>
    <t>Hagen, W (corresponding author), Univ Bremen, POB 330440, D-28334 Bremen, Germany.</t>
  </si>
  <si>
    <t>Hagen, Wilhelm/0000-0002-7462-9931</t>
  </si>
  <si>
    <t>10.1007/s002270000527</t>
  </si>
  <si>
    <t>461AH</t>
  </si>
  <si>
    <t>WOS:000170342400010</t>
  </si>
  <si>
    <t>Brockington, S; Clarke, A; Chapman, ALG</t>
  </si>
  <si>
    <t>Seasonality of feeding and nutritional status during the austral winter in the Antarctic sea urchin Sterechinus neumayeri</t>
  </si>
  <si>
    <t>SOUTH-ORKNEY ISLANDS; VARIEGATUS LAMARCK ECHINODERMATA; BIOCHEMICAL-COMPOSITION; SIGNY ISLAND; WATER ECHINODERMS; MARINE-SEDIMENTS; BODY COMPONENTS; MCMURDO SOUND; GROWTH; ECHINOIDEA</t>
  </si>
  <si>
    <t>The seasonal pattern of food intake and tissue energy status was measured over a 2 year period for two populations of the common Antarctic echinoid Sterechinus neumayeri living on contrasting substrata at Rothera Point, Adelaide Island, Antarctica. Food intake was estimated from faecal egestion, and both tissue mass and energy content assessed. Food availability was intensely seasonal, in that water column chlorophyll content and sediment pigment content varied markedly throughout the year. In response, both urchin populations showed an extremely seasonal cycle of faecal egestion, indicating a strong seasonality of feeding activity. Urchins from North Cove living on soft sediment fed at a considerably higher rate, and had a significantly larger Aristotle's lantern, than those in South Cove, I km away, living on hard substrata and taking a more cosmopolitan diet. Faecal egestion in both populations was zero for a 7 month period in the austral winter of 1997, and again for a 4 month period in 1998. During the austral summer of 1997/1998, 84% of the total annual energy intake took place in the period January to March. Significant decrease in gut tissue mass provided energy for maintenance in early winter, although progressive reduction of both gonad energy content (but without a detectable change in gonad mass) and body wall organic mass provided energy during the late winter period. The mass of reproductive tissue showed large differences between the two sites, but there was no marked decrease associated with spawning. Tissue proximate composition was assessed stoichiometrically from elemental composition and also checked by direct assay; gonad tissue was richer in lipid than gut tissue, though both were dominated by protein and contained only small amounts of carbohydrate. These data suggest that the very strong seasonality of food intake does not pose a significant energetic challenge for this species.</t>
  </si>
  <si>
    <t>British Antarctic Survey, Cambridge CB3 OET, England</t>
  </si>
  <si>
    <t>Brockington, S (corresponding author), British Antarctic Survey, Madingley Rd, Cambridge CB3 OET, England.</t>
  </si>
  <si>
    <t>WOS:000170342400013</t>
  </si>
  <si>
    <t>Baker, AN</t>
  </si>
  <si>
    <t>Status, relationships, and distribution of Mesoplodon bowdoini Andrews, 1908 (Cetacea: Ziphiidae).</t>
  </si>
  <si>
    <t>Mesoplodon bowdoini; Mesoplodon carlhubbsi; Mesoplodon bahamondi; morphology; osteology; reproduction; distribution; new records; southern oceans</t>
  </si>
  <si>
    <t>BEAKED-WHALE</t>
  </si>
  <si>
    <t>The specific status of Mesoplodon bawdoini Andrews is reviewed and new information on its morphology, reproduction, and distribution is presented. This species of beaked whale, known only from 35 specimens, has a southern, circumpolar distribution north of the Antarctic convergence, between 32 degrees and 54 degrees 30'S. It shares with M. bahamondi Reyes, Van Waerebeek, Cardenas and Yanez from the south Pacific Ocean including New Zealand (this paper) and M, carlhubbsi Moore from the north Pacific, a number of morphological features such as prominential notches in the maxillary bones in the skull. It is less similar to M. stejnegeri True from the north Pacific and M. ginkgodens Nishiwaki and Kamiya from the tropical Indo-Pacific. Mesoplodon bawdoini can be distinguished from all other species of Mesoplodon by the shape of its teeth (male and female), and differences in the morphology of its skull, especially the proportions of the rostrum, separation of the nasals, the shape of the prominential notches, and the nature of the antorbital processes. The species' distinguishing external characteristics are: a robust body up to about 4.50 m long; a low melon and short, thick beak; an elevated jawline posteriorly; acid a ion: blunt-tipped, triangular dorsal fin. The occurrence of fetuses of M. bowdoini in May and September, and perinatal juveniles in May and June, indicates a summer-autumn breeding season in the New Zealand region; the length at birth is estimated at about 2.20 m.</t>
  </si>
  <si>
    <t>Dept Conservat, Sci &amp; Res Unit, Wellington, New Zealand</t>
  </si>
  <si>
    <t>Baker, AN (corresponding author), Dept Conservat, Sci &amp; Res Unit, POB 10420, Wellington, New Zealand.</t>
  </si>
  <si>
    <t>10.1111/j.1748-7692.2001.tb00999.x</t>
  </si>
  <si>
    <t>443AW</t>
  </si>
  <si>
    <t>WOS:000169318000002</t>
  </si>
  <si>
    <t>Jemison, LA; Kelly, BP</t>
  </si>
  <si>
    <t>Pupping phenology and demography of harbor seals (Phoca vitulina richardsi) on Tugidak Island, Alaska.</t>
  </si>
  <si>
    <t>pupping phenology; demography; molting period; harbor seals; Phoca vitulina richardsi; population decline; Gulf of Alaska; food abundance and availability</t>
  </si>
  <si>
    <t>ANTARCTIC FUR SEALS; VALDEZ OIL-SPILL; EUMETOPIAS-JUBATUS; HALICHOERUS-GRYPUS; REPRODUCTIVE-PERFORMANCE; GULF; LIONS; AGE; PARTURITION; POPULATION</t>
  </si>
  <si>
    <t>The number of seals on shore at Tugidak Island (Gulf of Alaska) declined 72%-85% between 1976 and 1988 and increased during the 1990s. We compared pupping phenology and the ratio of pupping-period counts to molting-period counts between declining (1976-1979) and increasing (1994-1998) years, and examined the sex/age structure of seals ashore during the 1990s. In the 1970s the onset and peak of pupping occurred 6-18 d later than in the 1990s. Rate of pup abandonment was higher in 1978 than in the 1990s. Between 1994 and 1995, the maximum and mean number of seals ashore increased &gt; 50%, largely due to an increase in non-pups. From 1995 to 1998, the sex/age structure of seals ashore was similar among years. We observed three to four times as many seals during the molting period than during the pupping period in the 1970s, whereas similar numbers Mere ashore during these periods in the 1990s, perhaps reflecting changes in demography and/or haul-out behavior. Changes in pupping phenology and demography may reflect environmental changes, such as food availability, and when monitored in conjunction with population counts, may help us better interpret changes in the number of seals ashore.</t>
  </si>
  <si>
    <t>Univ Alaska Fairbanks, Grad Program Marine Sci &amp; Limnol, Fairbanks, AK 99775 USA; Univ Alaska Fairbanks, Sch Fisheries &amp; Ocean Sci, Juneau, AK 99801 USA</t>
  </si>
  <si>
    <t>University of Alaska System; University of Alaska Fairbanks; University of Alaska System; University of Alaska Fairbanks</t>
  </si>
  <si>
    <t>Jemison, LA (corresponding author), Alaska Dept Fish &amp; Game, Div Wildlife Conservat, POB 240020, Douglas, AK 99824 USA.</t>
  </si>
  <si>
    <t>10.1111/j.1748-7692.2001.tb01006.x</t>
  </si>
  <si>
    <t>WOS:000169318000009</t>
  </si>
  <si>
    <t>Nygård, T; Lie, E; Rov, N; Steinnes, E</t>
  </si>
  <si>
    <t>Metal dynamics in an Antarctic food chain</t>
  </si>
  <si>
    <t>Antarctic petrel; south polar skua; krill; metal levels; Antarctica; bioaccumulation</t>
  </si>
  <si>
    <t>PETRELS</t>
  </si>
  <si>
    <t>The concentrations of copper, zinc, cadmium, selenium and mercury were determined in eggs, muscle, liver, kidney and stomach content of nestlings and adults of the Antarctic petrel, Thalassoica antarctica, and its predator, the south polar skua, Chataracta maccormicki, from Svarthamaren, Dronning Maud Land, Antarctica. The dominant food of the petrels is krill, Euphausia superba. The results show relatively high levels of cadmium in krill, which is assumed to be the main reason for the high levels of cadmium in petrels and skuas. Cadmium is almost absent in eggs, but accumulates very rapidly with age in nestlings. The copper concentrations in livers of nestling petrels reach very high levels during growth. This may be seen in connection with physiological development processes. Mercury seems to be accumulated with age and between trophic levels. Among the nestlings, the mercury levels decrease with increasing age, which may be accomplished by the excretion of mercury through the growth of feathers and as a dilution effect during growth. Selenium and mercury are inversely correlated in nestlings. The levels of zinc were similar for different nestling stages and between nestlings and adults in skuas and petrels. (C) 2001 Elsevier Science Ltd. All rights reserved.</t>
  </si>
  <si>
    <t>Norwegian Inst Nat Res, N-7485 Trondheim, Norway; Natl Vet Inst, N-0033 Oslo, Norway; Norwegian Univ Sci &amp; Technol, Dept Chem, N-7491 Trondheim, Norway</t>
  </si>
  <si>
    <t>Norwegian Institute Nature Research; Norwegian Veterinary Institute; Norwegian University of Science &amp; Technology (NTNU)</t>
  </si>
  <si>
    <t>torgeir.nygard@ninatrd.ninaniku.no</t>
  </si>
  <si>
    <t>Steinnes, Eiliv/AAU-5457-2020</t>
  </si>
  <si>
    <t>Nygard, Torgeir/0000-0002-7259-9441</t>
  </si>
  <si>
    <t>10.1016/S0025-326X(00)00206-X</t>
  </si>
  <si>
    <t>457RJ</t>
  </si>
  <si>
    <t>WOS:000170150300020</t>
  </si>
  <si>
    <t>Roeder, AD; Marshall, RK; Mitchelson, AJ; Visagathilagar, T; Ritchie, PA; Love, DR; Pakai, TJ; McPartlan, HC; Murray, ND; Robinson, NA; Kerry, KR; Lambert, DM</t>
  </si>
  <si>
    <t>Gene flow on the ice: genetic differentiation among Adelie penguin colonies around Antarctica</t>
  </si>
  <si>
    <t>Antarctica; microsatellite; population genetics; Pygoscelis adeliae</t>
  </si>
  <si>
    <t>CONTROL-REGION SEQUENCES; POPULATION-STRUCTURE; MICROSATELLITE LOCI; DNA-MICROSATELLITE; SUBDIVISION; ALLELES; POLYMORPHISM; INDICATORS; STATISTICS; SHOREBIRD</t>
  </si>
  <si>
    <t>Each summer Adelie penguins breed in large disjunct colonies on ice-free areas around the Antarctic continent. Comprising &gt; 10 million birds, this species represents a dominant feature of the Antarctic ecosystem. The patchy distribution within a large geographical range, natal philopatry and a probable history of refugia, suggest that this species is likely to exhibit significant genetic differentiation within and among colonies. We present data from seven microsatellite DNA loci for 442 individuals from 13 locations around the Antarctic continent. With the exception of one locus, there was no significant genic or genotypic heterogeneity across populations. Pairwise F-ST values were low with no value &gt; 0.02. When all colonies were compared in a single analysis, the overall F-ST value was 0.0007. Moreover, assignment tests were relatively ineffective at correctly placing individuals into their respective collection sites. These data reveal a lack of genetic differentiation between Adelie penguin colonies around the Antarctic continent, despite substantial levels of genetic variation. We consider this homogeneity in terms of the dispersal of individuals among colonies and the size of breeding groups and discuss our results in terms of the glacial history of Antarctica.</t>
  </si>
  <si>
    <t>Massey Univ, Inst Mol BioSci, Palmerston North, New Zealand; Victorian Inst Anim Sci, Attwood, Vic, Australia; LaTrobe Univ, Dept Genet &amp; Evolut, Bundoora, Vic, Australia; Univ Auckland, Sch Biol Sci, Auckland 1, New Zealand; Australian Antarctic Div, Kingston, Tas, Australia</t>
  </si>
  <si>
    <t>Massey University; Victorian Department of Environment &amp; Primary Industries; La Trobe University; University of Auckland; Australian Antarctic Division</t>
  </si>
  <si>
    <t>Lambert, DM (corresponding author), Massey Univ, Inst Mol BioSci, Private Bag 11-222, Palmerston North, New Zealand.</t>
  </si>
  <si>
    <t>Robinson, Nicholas/P-2672-2019; Robinson, Nicholas/JHU-4334-2023</t>
  </si>
  <si>
    <t>Robinson, Nicholas/0000-0003-1724-2551; Ritchie, Peter/0000-0002-8351-7931; Lambert, David/0000-0002-5821-3637; Love, Donald/0000-0003-4669-8769</t>
  </si>
  <si>
    <t>10.1046/j.0962-1083.2001.01312.x</t>
  </si>
  <si>
    <t>455AV</t>
  </si>
  <si>
    <t>WOS:000170006100005</t>
  </si>
  <si>
    <t>Griffiths, LM; Silk, J; Zaroubi, S</t>
  </si>
  <si>
    <t>Bumpy power spectra and ΔT/T</t>
  </si>
  <si>
    <t>MONTHLY NOTICES OF THE ROYAL ASTRONOMICAL SOCIETY</t>
  </si>
  <si>
    <t>cosmic microwave background; cosmology : theory</t>
  </si>
  <si>
    <t>MICROWAVE BACKGROUND OBSERVATIONS; COSMOLOGICAL CONSTANT; DENSITY; INFLATION; BOOMERANG; PERTURBATIONS; ANISOTROPIES; PARAMETERS; UNIVERSE; SCALES</t>
  </si>
  <si>
    <t>With the recent publication of the measurements of the radiation angular power spectrum from the BOOMERanG-98 Antarctic flight, it has become apparent that the currently favoured spatially flat cold dark matter model (matter density parameter Omega (m) = 0.3, flatness being restored by a cosmological constant Omega (Lambda) = 0.7, Hubble parameter h = 0.65, baryon density parameter Omega (b)h(2) = 0.02) no longer provides a good fit to the data. We describe a phenomenological approach to resurrecting this paradigm. We consider a primordial power spectrum which incorporates a bump, arbitrarily placed at k(b) and characterized by a Gaussian in log k of standard deviation sigma (b) and amplitude A(b), which is superimposed on to a scale-invariant power spectrum. We generate a range of theoretical models that include a bump at scales consistent with cosmic microwave background (CMB) and large-scale structure observations, and perform a simple chi (2) test to compare our models with the COBE Differential Microwave Radiometer (DMR) data and the recently published BOOMERanG-98 and MAXIMA-1 data. Unlike models that include a high baryon content, our models predict a low third acoustic peak. We find that low l observations (20 &lt; l &lt; 200) are a critical discriminant of the bumps because the transfer function has a sharp cut-off on the high l side of the first acoustic peak. Current galaxy redshift survey data suggest that excess power is required at a scale around 100 Mpc, corresponding to k(b) similar to0.05 h Mpc(-1). For the concordance model, use of a bump-like feature to account for this excess is not consistent with the constraints imposed by recent CMB data. We note that models with an appropriately chosen break in the power spectrum provide an alternative model that can give distortions similar to those reported in the automated plate measurement (APM) survey as well as consistency with the CMB data. We prefer, however, to discount the APM data in favour of the less biased decorrelated linear power spectrum recently constructed from the Point Source Catalogue Redshift (PSCz) redshift survey. We show that the concordance cosmology can be resurrected using our phenomenological approach and that our best-fitting model Is in agreement with the PSCz observations.</t>
  </si>
  <si>
    <t>Astron Nucl &amp; Astrophys Lab, Oxford OX1 3RH, England; Max Planck Inst Astrophys, D-85748 Garching, Germany</t>
  </si>
  <si>
    <t>Max Planck Society</t>
  </si>
  <si>
    <t>Griffiths, LM (corresponding author), Astron Nucl &amp; Astrophys Lab, Keble Rd, Oxford OX1 3RH, England.</t>
  </si>
  <si>
    <t>lmg@astro.ox.ac.uk</t>
  </si>
  <si>
    <t>0035-8711</t>
  </si>
  <si>
    <t>1365-2966</t>
  </si>
  <si>
    <t>MON NOT R ASTRON SOC</t>
  </si>
  <si>
    <t>Mon. Not. Roy. Astron. Soc.</t>
  </si>
  <si>
    <t>10.1046/j.1365-8711.2001.04372.x</t>
  </si>
  <si>
    <t>452ZX</t>
  </si>
  <si>
    <t>WOS:000169890700021</t>
  </si>
  <si>
    <t>Azuaga, T; Barbero, M; Gómez-Bolea, A</t>
  </si>
  <si>
    <t>Additions to the knowledge of the genus Cladonia (Cladoniaceae, lichenized Ascomycotina) in the alpine belt of the Pyrenees in Andorra</t>
  </si>
  <si>
    <t>MYCOTAXON</t>
  </si>
  <si>
    <t>chemotaxonomy; ecology; altitudinal distribution; Iberian; Peninsula</t>
  </si>
  <si>
    <t>Field and laboratory studies of the lichen genus Cladonia in the alpine meadows of Andorra (NE of Spain, Iberian Peninsula), yielded 24 taxa: 19 species, 3 subspecies and 2 unidentified taxa. Cladonia galindezii, earlier believed to be endemic to the Antarctic, is reported for the first time from the Northern Hemisphere. C. asahinae, C. macroceras, and chemotypes IV of C. subcariosa and II of C. pyxidata are new reports for Europe. The lichen substances, reported for each taxon, and the altitudinal distribution are discussed.</t>
  </si>
  <si>
    <t>Univ Barcelona, Fac Biol, Dept Biol Vegetal Bot, E-08028 Barcelona, Spain</t>
  </si>
  <si>
    <t>University of Barcelona</t>
  </si>
  <si>
    <t>Azuaga, T (corresponding author), Univ Barcelona, Fac Biol, Dept Biol Vegetal Bot, Avda Diagonal 645, E-08028 Barcelona, Spain.</t>
  </si>
  <si>
    <t>Gómez Bolea, Antonio/HKW-4303-2023</t>
  </si>
  <si>
    <t>Barbero, Mercedes/0000-0002-0091-7164; Gomez-Bolea, Antonio/0000-0001-5836-6767</t>
  </si>
  <si>
    <t>MYCOTAXON LTD</t>
  </si>
  <si>
    <t>ITHACA</t>
  </si>
  <si>
    <t>PO BOX 264, ITHACA, NY 14851-0264 USA</t>
  </si>
  <si>
    <t>0093-4666</t>
  </si>
  <si>
    <t>Mycotaxon</t>
  </si>
  <si>
    <t>JUL-SEP</t>
  </si>
  <si>
    <t>Mycology</t>
  </si>
  <si>
    <t>483CY</t>
  </si>
  <si>
    <t>WOS:000171617200039</t>
  </si>
  <si>
    <t>Gili, JM; Coma, R; Orejas, C; López-González, PJ; Zabala, M</t>
  </si>
  <si>
    <t>Are Antarctic suspension-feeding communities different from those elsewhere in the world?</t>
  </si>
  <si>
    <t>BENTHIC BOUNDARY-LAYER; CORAL LOPHELIA-PERTUSA; PARTICULATE MATTER; PARTICLE CAPTURE; COLD ADAPTATION; ECOLOGICAL ROLE; ORGANIC-MATTER; MCMURDO SOUND; NATURAL DIET; PREY CAPTURE</t>
  </si>
  <si>
    <t>This paper reviews the trophic ecology of benthic suspension feeders in Antarctic shelf communities, studied within SCAR's EASIZ Programme, in comparison with published information from other seas. Dense benthic suspension-feeder communities capture large quantities of particles and may directly regulate primary, and indirectly, secondary production in littoral food chains. Most work has been performed in temperate and tropical seas; however, little is known about suspension feeders in cold environments. Recent studies on Antarctic littoral benthic suspension feeders suggest the period of winter inactivity may last only a few weeks. This contrasts with the hypothesis that in Antarctic communities there is a prolonged period of minimal activity lasting at least 6 months during the austral winter. Results from other oceans may explain how dense benthic communities could develop under such conditions. Alternative food sources, i.e. the fine fraction, sediment resuspension, lateral advection and efficient food assimilation may play a significant role in the development of suspension-feeder dominated, very diversified, high biomass and three-dimensionally structured communities on the Antarctic shelf.</t>
  </si>
  <si>
    <t>CSIC, Inst Ciencias Mar, E-08039 Barcelona, Spain; Alfred Wegener Inst Polar &amp; Marine Res, D-27568 Bremerhaven, Germany; Univ Seville, Lab Biol Marina, E-41080 Seville, Spain; Univ Barcelona, Fac Biol, Dept Ecol, E-08028 Barcelona, Spain</t>
  </si>
  <si>
    <t>Consejo Superior de Investigaciones Cientificas (CSIC); CSIC - Centro Mediterraneo de Investigaciones Marinas y Ambientales (CMIMA); CSIC - Instituto de Ciencias del Mar (ICM); Helmholtz Association; Alfred Wegener Institute, Helmholtz Centre for Polar &amp; Marine Research; University of Sevilla; University of Barcelona</t>
  </si>
  <si>
    <t>CSIC, Inst Ciencias Mar, Pl Mar S-N, E-08039 Barcelona, Spain.</t>
  </si>
  <si>
    <t>gili@icm.csic.es</t>
  </si>
  <si>
    <t>Orejas, Covadonga/B-1644-2012; Coma, Rafel/ABF-2082-2021; Lopez-González, Pablo J./Y-6440-2018</t>
  </si>
  <si>
    <t>Coma, Rafel/0000-0001-6107-225X; Lopez-González, Pablo J./0000-0002-7348-6270; Orejas Saco del Valle, Covadonga/0000-0002-2580-1002</t>
  </si>
  <si>
    <t>10.1007/s003000100257</t>
  </si>
  <si>
    <t>457DP</t>
  </si>
  <si>
    <t>WOS:000170122100001</t>
  </si>
  <si>
    <t>Held, C</t>
  </si>
  <si>
    <t>No evidence for slow-down of molecular substitution rates at subzero temperatures in Antarctic serolid isopods (Crustacea, Isopoda, Serolidae)</t>
  </si>
  <si>
    <t>MITOCHONDRIAL-DNA; METABOLIC-RATE; BODY-SIZE; EVOLUTION; BIOGEOGRAPHY; CRABS; SYSTEMATICS; PHYLOGENY; FISHES; CLOCK</t>
  </si>
  <si>
    <t>The molecular slow-down hypothesis suggests a temperature-controlled slow-down of molecular substitution rates to be a common characteristic of polar poikilotherm organisms. There is evidence that metabolic rate may be controlling the rate of nucleotide substitution in many organisms. In this study, absolute rates of nucleotide change based on a geologically calibrated molecular clock from the 16S ribosomal RNA (LSU) gene of 12 species of serolid isopods living in Antarctic waters are calculated and compared with data from sesarmid crabs from tropical latitudes. Contrary to the prediction, no difference of molecular substitution rates between Crustacea from different latitudes can be detected. This result is corroborated by testing the relative rate in serolid isopods against other Crustacea from tropical, temperate and Antarctic waters. While an influence of temperature on the rate of spontaneous mutation cannot be dismissed, the results show that temperature is not the key determinant of the rate of nucleotide change as has been suggested by the molecular slow-down hypothesis.</t>
  </si>
  <si>
    <t>Ruhr Univ Bochum, Lehrstuhl Spezielle Zool, D-44780 Bochum, Germany</t>
  </si>
  <si>
    <t>Ruhr University Bochum</t>
  </si>
  <si>
    <t>Held, C (corresponding author), Ruhr Univ Bochum, Lehrstuhl Spezielle Zool, Gebaude ND05-755, D-44780 Bochum, Germany.</t>
  </si>
  <si>
    <t>Held, Christoph/0000-0001-8854-3234</t>
  </si>
  <si>
    <t>10.1007/s003000100245</t>
  </si>
  <si>
    <t>WOS:000170122100003</t>
  </si>
  <si>
    <t>Brenner, M; Buck, BH; Cordes, S; Dietrich, L; Jacob, U; Mintenbeck, K; Schröder, A; Brey, T; Knust, R; Arntz, W</t>
  </si>
  <si>
    <t>The role of iceberg scours in niche separation within the Antarctic fish genus Trematomus</t>
  </si>
  <si>
    <t>COMMUNITY</t>
  </si>
  <si>
    <t>Species of the Antarctic fish genus Trematomus occupy different trophic niches. It is not clear, however, whether small-scale variability in benthic community structure affects niche separation. Therefore abundance and biomass of fish were determined and stomach content and food composition were compared in areas affected by iceberg scours and unaffected areas in the Weddell Sea. Trematomus eulepidotus. T. lepidorhinus and T. scotti dominate undisturbed areas. whereas T. nicolai and especially T. pennellii dominate disturbed areas. Total stomach content and number of prey taxa per fish are higher in preferred than in non-preferred areas. These findings indicate that small-scale horizontal patterns caused by iceberg scours play a distinct role in Trematomus niche separation.</t>
  </si>
  <si>
    <t>Brey, T (corresponding author), Alfred Wegener Inst Polar &amp; Marine Res, POB 120161, D-27515 Bremerhaven, Germany.</t>
  </si>
  <si>
    <t>Jacob, Ute/F-8179-2011; Buck, Bela H./B-8772-2012</t>
  </si>
  <si>
    <t>Buck, Bela H./0000-0001-7491-3273; Mintenbeck, Katja/0000-0002-3239-6308; Brey, Thomas/0000-0002-6345-2851</t>
  </si>
  <si>
    <t>WOS:000170122100004</t>
  </si>
  <si>
    <t>Brockington, S</t>
  </si>
  <si>
    <t>The seasonal energetics of the Antarctic bivalve Laternula elliptica (King and Broderip) at Rothera Point, Adelaide Island</t>
  </si>
  <si>
    <t>MYTILUS-EDULIS-L; NITROGEN-EXCRETION; METABOLIC-RATE; GEORGE-ISLAND; 2 POPULATIONS; BODY-MASS; TEMPERATURE; SEAWATER; GROWTH; ZOOPLANKTON</t>
  </si>
  <si>
    <t>Seasonal changes in feeding activity, metabolic rate and major tissue energy concentrations of the infaunal bivalve Laternula elliptica were monitored over a 12 degrees month period in relation to phytoplankton standing stock. Chlorophyll a concentration displayed the prolonged winter minima and intense annual summer peak characteristic of polar environments. Divers made regular observations on the feeding activity of L. elliptica throughout the year, and siphons were completely withdrawn below the sediment surface at the start of the study in early September 1998. Siphons reappeared as chlorophyll concentrations rose at the end of September and these concentrations continued until late May 1999 when siphons were again withdrawn. There were, therefore, around 4 months in the austral winter when L. elliptica did not feed. Oxygen consumption rates were highly seasonal, varying from 4.3 mu mol h(-1) late in the winter (August 1999) to 12.9 mu mol h(-1) in summer (March 1999) for a 50 degrees mm shell height individual, indicating a summer increase in oxygen consumption over winter levels of Hx3.0. Nitrogen was excreted as 90% ammonium and 10% urea, and excretion rates were also highly seasonal. The O:N ratio did not vary significantly with size in winter (September, August), but declined with shell length in summer (November, January and March), indicating that larger bivalves used a higher proportion of protein to fuel metabolism than younger animals when feeding in summer. O:N ratios in August 1999 ranged from 3 to 16, indicating a predominantly protein-based metabolism, ANCOVA showed that regressions of dry tissue masses of major non-re productive body components (musculature, ctenidia and digestive tissue) against shell height did not change between late winter and late summer. ANCOVA also showed that the regression slope for gonad mass against shell height was greater in late summer than late winter (slope F = 7.37, P = 0.009), and gonad mass was greater in all animals by late summer. Although tissue masses remained constant, energy content of non-reproductive tissues (especially musculature) declined from summer to winter. Muscle tissue also showed the greatest reduction in protein content, which was consistent with O:N estimates of primarily protein-based metabolism, especially in winter. Reduction in whole body energy content (5.84 kJ) agreed closely with total power utilisation during winter estimated from oxygen consumption (5.78 kJ). The data also showed that in contrast to temperate bivalve species, L. elliptica survives the prolonged polar winter with little reduction in body mass.</t>
  </si>
  <si>
    <t>Brockington, S (corresponding author), British Antarctic Survey, High Cross,Madingley Rd, Cambridge CB3 0ET, England.</t>
  </si>
  <si>
    <t>10.1007/s003000100251</t>
  </si>
  <si>
    <t>WOS:000170122100007</t>
  </si>
  <si>
    <t>Mouratov, S; Lahav, I; Barness, G; Steinberger, Y</t>
  </si>
  <si>
    <t>Preliminary study of the soil nematode community at Machu Picchu Station, King George Island, Antarctica</t>
  </si>
  <si>
    <t>POPULATION-DYNAMICS; DESERT ECOSYSTEM; CANOPY</t>
  </si>
  <si>
    <t>We studied the distribution and abundance of nematodes in one of the most extreme terrestrial environments in the world, at Machu Picchu, King George Island, off the coast of Admiralty Bay, Antarctica. We can report that the nematode community structure under the two most common plant covers was composed of three to four species. These species were found to belong functionally to microbial and omnivore/predator feeding types. Abundances of each of the nematode species were found to be negatively correlated to soil water content, generally decreasing their abundance with increasing soil water content. The results of this study demonstrate the importance of moisture availability to the nematode community and its species composition in this Antarctic soil ecosystem.</t>
  </si>
  <si>
    <t>Bar Ilan Univ, Fac Life Sci, IL-52900 Ramat Gan, Israel</t>
  </si>
  <si>
    <t>Bar Ilan University</t>
  </si>
  <si>
    <t>Steinberger, Y (corresponding author), Bar Ilan Univ, Fac Life Sci, IL-52900 Ramat Gan, Israel.</t>
  </si>
  <si>
    <t>WOS:000170122100010</t>
  </si>
  <si>
    <t>Zhang, MJ; Li, ZQ; Qin, DH; Xiao, CD; Yang, H; Kang, JC; Li, J</t>
  </si>
  <si>
    <t>Accumulation and temperature changes in Princess Elizabeth Land, Antarctica in the past 250 years</t>
  </si>
  <si>
    <t>PROGRESS IN NATURAL SCIENCE-MATERIALS INTERNATIONAL</t>
  </si>
  <si>
    <t>Antarctic ice sheet; firn core; accumulation rate; temperature</t>
  </si>
  <si>
    <t>SNOW</t>
  </si>
  <si>
    <t>A 50 m firn core drilled in Princess Elizabeth Land, Antarctica, during the 1996/1997 Chinese First Antarctic Inland Expedition, has been measured for delta O-18 and major ions. Based on these data, the features of the climate change in the investigated region in the past 250 years have first been studied. In the past 250 years, the change trend of climate in this legion can be divided into two periods by the year 1860. Both the temperature and accumulation rate display increasing trend before 1860, while after 1860, the decreasing trend of the temperature is obvious but the change of the accumulation rate is not clear. Although both the temperature and the accumulation rate are increasing in the past 50 years, they are not the highest values in the past 250 years. Sc it is clear that the climate change in this region during this period does not reflect recent global warming.</t>
  </si>
  <si>
    <t>Chinese Acad Sci, State Key Lab Frozen Soil Engn, Cold &amp; Arid Reg Environm &amp; Engn Res Inst, Lanzhou 730000, Peoples R China; Chinese Inst Polar Res, Shanghai 200129, Peoples R China; Antarctic Cooperat Res Ctr, Hobart, Tas 7001, Australia; Australian Antarctic Div, Hobart, Tas 7001, Australia</t>
  </si>
  <si>
    <t>Chinese Academy of Sciences; Cold &amp; Arid Regions Environmental &amp; Engineering Research Institute, CAS; Australian Antarctic Division</t>
  </si>
  <si>
    <t>Chinese Acad Sci, State Key Lab Frozen Soil Engn, Cold &amp; Arid Reg Environm &amp; Engn Res Inst, Lanzhou 730000, Peoples R China.</t>
  </si>
  <si>
    <t>cdxiao@ns.lzb.ac.cn</t>
  </si>
  <si>
    <t>1002-0071</t>
  </si>
  <si>
    <t>1745-5391</t>
  </si>
  <si>
    <t>PROG NAT SCI-MATER</t>
  </si>
  <si>
    <t>Prog. Nat. Sci.</t>
  </si>
  <si>
    <t>Materials Science, Multidisciplinary; Multidisciplinary Sciences</t>
  </si>
  <si>
    <t>Materials Science; Science &amp; Technology - Other Topics</t>
  </si>
  <si>
    <t>446MQ</t>
  </si>
  <si>
    <t>WOS:000169517400006</t>
  </si>
  <si>
    <t>Banaszak, AT; Trench, RK</t>
  </si>
  <si>
    <t>Ultraviolet sunscreens in dinoflagellates</t>
  </si>
  <si>
    <t>PROTIST</t>
  </si>
  <si>
    <t>UV-B RADIATION; AMINO-ACIDS MAAS; MICROALGAL-INVERTEBRATE SYMBIOSES; CORAL POCILLOPORA-DAMICORNIS; GREAT-BARRIER-REEF; ABSORBING COMPOUNDS; MARINE ORGANISMS; OXIDATIVE STRESS; ANTHOPLEURA-ELEGANTISSIMA; ANTARCTIC PHYTOPLANKTON</t>
  </si>
  <si>
    <t>Univ Nacl Autonoma Mexico, Inst Ciencias Mar &amp; Limnol, Unidad Acad Puerto Morelos, Cancun Q Roo 77500, Mexico; Univ Calif Santa Barbara, Dept Ecol Evolut &amp; Marine Biol, Santa Barbara, CA 93106 USA</t>
  </si>
  <si>
    <t>Universidad Autonoma del Estado de Morelos; Universidad Nacional Autonoma de Mexico; University of California System; University of California Santa Barbara</t>
  </si>
  <si>
    <t>Banaszak, AT (corresponding author), Univ Nacl Autonoma Mexico, Inst Ciencias Mar &amp; Limnol, Unidad Acad Puerto Morelos, Apartado Postal 1152, Cancun Q Roo 77500, Mexico.</t>
  </si>
  <si>
    <t>Banaszak, Anastazia Teresa/H-6362-2019</t>
  </si>
  <si>
    <t>Banaszak, Anastazia Teresa/0000-0002-6667-3983</t>
  </si>
  <si>
    <t>1434-4610</t>
  </si>
  <si>
    <t>Protist</t>
  </si>
  <si>
    <t>10.1078/1434-4610-00046</t>
  </si>
  <si>
    <t>466PH</t>
  </si>
  <si>
    <t>WOS:000170653600001</t>
  </si>
  <si>
    <t>Hicke, J; Tuck, A</t>
  </si>
  <si>
    <t>Polar stratospheric cloud impacts on Antarctic stratospheric heating rates</t>
  </si>
  <si>
    <t>heating rates; polar stratospheric clouds</t>
  </si>
  <si>
    <t>OZONE EXPERIMENT; LATE WINTER; VORTEX; TRANSPORT; CIRCULATION; TROPOSPHERE; CLIMATOLOGY; ATMOSPHERE; DEPLETION; EVOLUTION</t>
  </si>
  <si>
    <t>The impact of polar stratospheric clouds (PSCs) on the stratospheric radiative heating rate is analysed by including a nominal PSC in heating-rate calculations that incorporate realistic atmospheric variables including tropospheric clouds. The use of realistic atmospheric conditions constrains the possible radiative effects of PSCs, which previous studies have shown to be very sensitive to such variables as temperature, tropospheric clouds, and solar zenith angle. Over the pole, winter heating rates within the stratospheric polar vortex are decreased substantially by the presence of a PSC, while a PSC increases the heating rates equatorward of 75-85 degreesS. Although the PSC always increases the short-wave heating, the effect in the long-wave region depends on the ground temperature, the stratospheric temperature, and presence of a tropospheric cloud. For the thickest PSCs (Type II), the effect in August 1994 varies from cooling by 0.25 K d(-1) (potential-temperature difference Delta(theta) over dot = 0.5 K d(-1)) at the pole to heating by 0.3 K d(-1) (Delta(theta) over dot = 0.6 K d(-1)) at 65 degreesS to slight cooling equatorward of 57 degreesS. September 1994 results are similar. Calculated beating rates over the pole including PSCs are near -0.5 K d(-1) ((theta) over dot = -1 K d(-1)) for both months, and positive heating rates of up to 0.25 K d(-1) ((theta) over dot =0.5 K d(-1)) occur near the vortex edge. Thinner PSCs (Type 1) have less of an effect; for example, heating rates of 0.375 K d(-1) ((theta) over dot = 0.75 K d(-1)) occur over the pole in August when a Type I PSC is included. These results should be viewed as an upper bound to the effect of PSCs since the calculations specify 100% PSC cover; satellite results show that this assumption is not unreasonable within the vortex during winter and early spring, however. The increased latitudinal gradient in descent rates in the presence of a PSC is consistent with the behaviour of long-lived trace-gas observations, and strengthens the vortex relative to a PSC-free case.</t>
  </si>
  <si>
    <t>Univ Colorado, Dept Geol Sci, Cooperat Inst Res Environm Sci, Boulder, CO 80309 USA</t>
  </si>
  <si>
    <t>University of Colorado System; University of Colorado Boulder</t>
  </si>
  <si>
    <t>Hicke, J (corresponding author), Univ Colorado, Dept Geol Sci, Cooperat Inst Res Environm Sci, Campus Box 399,2200 Colorado Ave, Boulder, CO 80309 USA.</t>
  </si>
  <si>
    <t>Hicke, Jeffrey A./M-9677-2013; Tuck, Adrian/F-6024-2011</t>
  </si>
  <si>
    <t>Tuck, Adrian/0000-0002-2074-0538</t>
  </si>
  <si>
    <t>10.1002/qj.49712757510</t>
  </si>
  <si>
    <t>461YH</t>
  </si>
  <si>
    <t>WOS:000170391100009</t>
  </si>
  <si>
    <t>Stokes, CR; Clark, CD</t>
  </si>
  <si>
    <t>Palaeo-ice streams</t>
  </si>
  <si>
    <t>QUATERNARY SCIENCE REVIEWS</t>
  </si>
  <si>
    <t>NORTH-ATLANTIC MARGINS; CONTINUUM MIXTURE MODEL; HEINRICH EVENTS; HUDSON STRAIT; SEDIMENTARY PROCESSES; CONTINENTAL MARGINS; ICEBERG DISCHARGES; SUBGLACIAL GEOLOGY; CENTRAL IRELAND; SHEET DYNAMICS</t>
  </si>
  <si>
    <t>The location and behaviour of ice streams is one of the most important controls on ice sheet configuration and stability. In order to reconstruct former ice sheets we need to know ice stream location and timing. Once identified, the beds of palaeo-ice streams provide an unprecedented opportunity to glean information about their basal environment, something that remains very difficult under contemporary ice streams. This paper represents the first synthesis and discussion of palaeo-ice stream research from a variety of former ice sheets and includes new insights relating their configuration and activity to the evidence they leave behind. The ambiguous use of the term 'ice stream' is addressed and four possible configurations for ice streams are presented. Diagnostic landforms and landform assemblages that we would expect an ice stream to produce are discussed and the temporal context of bedform generation is described as either a 'rubber stamped' or 'smudged' bedform imprint, resulting from isochronous or time-transgressive landform generation. In particular, we focus on the configuration of terrestrially terminating ice streams, for which there are no modern analogues. Technological advances in marine geophysics are helping to generate a convergence of interest between Antarctic glaciology and palaeo glaciology. It is suggested that investigations around the fringes of contemporary ice sheets, (i.e. West Antarctica) can provide evidence that directly links the geomorphologaical record of palaeo-ice streams with their contemporary counterparts. In addition, computational advances and modelling adaptations have permitted the incorporation of ice streams within ice sheet models. We argue that data from palaeo-ice stream beds are invaluable to ice sheet/stream modelling experiments and will help us understand ice stream operation and the linkages between climate perturbations and both palaeo and contemporary ice sheets. (C) 2001 Elsevier Science Ltd. All rights reserved.</t>
  </si>
  <si>
    <t>Univ Sheffield, Dept Geog, Sheffield S10 2TN, S Yorkshire, England</t>
  </si>
  <si>
    <t>University of Sheffield</t>
  </si>
  <si>
    <t>Stokes, CR (corresponding author), Univ Reading, Landscape &amp; Landform Res Grp, Reading RG6 6AB, Berks, England.</t>
  </si>
  <si>
    <t>c.r.stokes@reading.ac.uk</t>
  </si>
  <si>
    <t>clark, chris/C-3830-2009; Stokes, Chris/A-1957-2011</t>
  </si>
  <si>
    <t>clark, chris/0000-0002-1021-6679; Stokes, Chris/0000-0003-3355-1573</t>
  </si>
  <si>
    <t>0277-3791</t>
  </si>
  <si>
    <t>QUATERNARY SCI REV</t>
  </si>
  <si>
    <t>Quat. Sci. Rev.</t>
  </si>
  <si>
    <t>10.1016/S0277-3791(01)00003-8</t>
  </si>
  <si>
    <t>456FA</t>
  </si>
  <si>
    <t>WOS:000170071400003</t>
  </si>
  <si>
    <t>Clilverd, MA; Rodger, CJ; Thomson, NR; Lichtenberger, J; Steinbach, P; Cannon, P; Angling, MJ</t>
  </si>
  <si>
    <t>Total solar eclipse effects on VLF signals: Observations and modeling</t>
  </si>
  <si>
    <t>LOWER IONOSPHERE; ROCKET MEASUREMENTS; MARCH 1970; D-REGION; PHASE; PATH; TRANSMISSIONS; PROPAGATION</t>
  </si>
  <si>
    <t>During the total solar eclipse observed in Europe oil August 11, 1999, measurements wore made of the amplitude and phase of four VLF transmitters in the frequency range 16-24 kHz. Five receiver sites were, set up, and significant variations in phase and amplitude are reported for 17 paths, more than any previously during an eclipse. Distances from transmitter to receiver ranged from 90 to 14,510 kill, although the majority wore &lt; 2000 km. Typically, positive amplitude changes were observed throughout the whole eclipse period on path lengths &lt;2000 kin, while negative amplitude changes were observed on paths 10,000 km. Negative phase changes were observed on most paths, independent of path length. Although there. was significant variation from path to path, the typical changes observed were similar to3 dB and similar to 50 degrees. The changes observed were modeled using the Long Wave Propagation Capability waveguide code. Maximum eclipse effects occurred when the Wait inverse scale height parameter was 0.5 km(-1) and the effective ionospheric height parameter H' was 79 kin, compared with beta =0.43 km(-1) and H'=71 kin for normal daytime conditions. The resulting changes in modeled amplitude and phase show good agreement with the majority of the observations. The modeling undertaken provides ail interpretation of why previous estimates of height change during eclipses have shown such a range of values. A D region gas-chemistry model was compared with electron concentration estimates inferred from the observations made during the solar eclipse. Quiet-day H' and beta parameters were used to define the initial ionospheric profile. The gas-chemistry model was then driven only by eclipse-related solar radiation levels. The calculated electron concentration values at 77 kill altitude throughout the period of the solar eclipse show good agreement with the values determined from observations at all times, which suggests that a linear variation in electron production rate with solar ionizing radiation is reasonable. At times of minimum electron concentration the chemical model predicts that the, D region profile would be parameterized by the same beta and H' as the LWPC model values, and rocket profiles, during totality and can be considered a validation of the chemical processes defined within the model.</t>
  </si>
  <si>
    <t>British Antarctic Survey, Div Phys Sci, Cambridge CB3 0ET, England; Univ Otago, Dept Phys, Dunedin, New Zealand; Eotvos Lorand Univ, Space Res Grp, H-1518 Budapest, Hungary; Dev Evaluat &amp; Res Agcy, Radio Sci &amp; Progagat Grp, Malvern WR14 3PS, Worcs, England</t>
  </si>
  <si>
    <t>UK Research &amp; Innovation (UKRI); Natural Environment Research Council (NERC); NERC British Antarctic Survey; University of Otago; Eotvos Lorand University</t>
  </si>
  <si>
    <t>British Antarctic Survey, Div Phys Sci, Madingley Rd, Cambridge CB3 0ET, England.</t>
  </si>
  <si>
    <t>m.clilverd@bas.ac.uk; crodger@physics.otago.ac.nz; thomson@physics.otago.ac.nz; spacerg@sas.elte.hu; pcannon@dera.hmg.gb; mjangling@dera.gov.uk</t>
  </si>
  <si>
    <t>Cannon, Paul/A-2488-2011; Cannon, Paul S/C-3579-2011; Rodger, Craig/A-1501-2011; Lichtenberger, Janos/K-1034-2018</t>
  </si>
  <si>
    <t>Cannon, Paul/0000-0001-8240-994X; Rodger, Craig J./0000-0002-6770-2707; Steinbach, Peter/0000-0003-2524-8494; Lichtenberger, Janos/0000-0001-9175-9255</t>
  </si>
  <si>
    <t>1944-799X</t>
  </si>
  <si>
    <t>10.1029/2000RS002395</t>
  </si>
  <si>
    <t>456UX</t>
  </si>
  <si>
    <t>WOS:000170101600023</t>
  </si>
  <si>
    <t>Varma, AK; Gairola, RM; Pandey, PC; Singh, KP</t>
  </si>
  <si>
    <t>Use of TOPEX altimeter for the study of diurnal and spatial distribution of southwest monsoon rainfall over the Bay of Bengal and the Arabian Sea</t>
  </si>
  <si>
    <t>REMOTE SENSING OF ENVIRONMENT</t>
  </si>
  <si>
    <t>TOPEX/Poseidon altimeter; radar backscatter coefficient; microwave radiometer; brightness temperature; southwest monsoon</t>
  </si>
  <si>
    <t>GLOBAL OCEANIC PRECIPITATION; MICROWAVE RADIOMETER; TOPEX/POSEIDON; ALGORITHMS; CYCLE; VIEW</t>
  </si>
  <si>
    <t>In this paper, the rain detection capability of the dual-frequency (Ku and C band) radar altimeter onboard, the non-sun-synchronous TOPEX/Poseidon (T/P) satellite is exploited to study the diurnal variability of rainfall over Indian oceanic regions during the southwest monsoon season. The study is done using three consecutive years (1993, 1994 and 1995) of T/P altimeter data. Based on the difference of normalized backscattered coefficient, Delta sigma degrees (C-Ku band), the T/P satellite observations are categorized into three different classes of no rain. low rain, and high rain. The data is further divided into 12 time intervals of 2 h each, starting from 0000 to 2400 Z. The uneven distribution of observations in each time interval due to orbit characteristics of T/P satellite is removed. The histograms of rain events are plotted for the Bay of Bengal and the Arabian Sea to study diurnal and regional variability of rain events. The variation of rainfall intensity, within high-rain category, over the two regions is also studied. The results showed that there is no consistent diurnal variability of rainfall exist over the Arabian Sea and the Bay of Bengal regions from year to year. However, the 3-year composite data shows more rain events over the Arabian Sea at early morning hours between 0000 and 0200 GMT. This is verified by concurrently available TOPEX Microwave Radiometer (TMR) observations of rain events. The intensity of rain rate also does not show any marked diurnal variability. The probability of rain events is significantly high over the Bay of Bengal region compared to the Arabian Sea region. This is also verified with TMR-based analysis. Further, interannual variability of rain events and amount over the two regions from Delta sigma degrees -based analysis is also discussed in association with interannual variations in the monsoon activities over these two regions. (C) 2001 Elsevier Science Inc. All rights reserved.</t>
  </si>
  <si>
    <t>Indian Space Res Org, Ctr Space Applicat, Ocean Sci Div, Ahmedabad 380015, Gujarat, India; Natl Ctr Antarctic &amp; Ocean Res, Goa 403802, India; Banaras Hindu Univ, Inst Technol, Dept Elect Engn, Varanasi 221005, Uttar Pradesh, India</t>
  </si>
  <si>
    <t>Department of Space (DoS), Government of India; Indian Space Research Organisation (ISRO); Space Applications Centre (SAC); Ministry of Earth Sciences (MoES) - India; National Centre for Polar and Ocean Research (NCPOR); Banaras Hindu University (BHU); Indian Institute of Technology System (IIT System); Indian Institute of Technology BHU Varanasi (IIT BHU Varanasi)</t>
  </si>
  <si>
    <t>Varma, AK (corresponding author), Indian Space Res Org, Ctr Space Applicat, Ocean Sci Div, Ahmedabad 380015, Gujarat, India.</t>
  </si>
  <si>
    <t>0034-4257</t>
  </si>
  <si>
    <t>REMOTE SENS ENVIRON</t>
  </si>
  <si>
    <t>Remote Sens. Environ.</t>
  </si>
  <si>
    <t>10.1016/S0034-4257(01)00200-0</t>
  </si>
  <si>
    <t>Environmental Sciences; Remote Sensing; Imaging Science &amp; Photographic Technology</t>
  </si>
  <si>
    <t>Environmental Sciences &amp; Ecology; Remote Sensing; Imaging Science &amp; Photographic Technology</t>
  </si>
  <si>
    <t>454CT</t>
  </si>
  <si>
    <t>WOS:000169955400010</t>
  </si>
  <si>
    <t>Williams, JT; Springer, VG</t>
  </si>
  <si>
    <t>Review of the south American-Antarctic triplefin fish genus Helcogrammoides (Perciformes: Tripterygiidae)</t>
  </si>
  <si>
    <t>REVISTA DE BIOLOGIA TROPICAL</t>
  </si>
  <si>
    <t>Helcogrammoides; Peru; Chile; identification key; triplefin fishes</t>
  </si>
  <si>
    <t>The genus Helcogrammoides comprises three species of small, cryptic shorefishes, H. antarcticus, H. chilensis, and H. cunninghami. All three species inhabit shallow water along exposed rocky coasts. Specimens reported herein extend the known distributions of H. chilensis and H. cunninghami to the vicinity of Lima, Peru, approximately 1 600 km north of their previously reported northernmost records in Chile. Helcogrammoides chilensis and H. cunninghami occur sympatrically over most of their ranges in Peru and Chile and are frequently taken together in the same field collections. Lectotypes are designated for H. chilensis and H. cunninghami. Diagnoses and an identification key are provided for the species.</t>
  </si>
  <si>
    <t>Smithsonian Inst, Natl Museum Amer Hist, Dept Vertebrate Zool, Washington, DC 20560 USA</t>
  </si>
  <si>
    <t>Williams, JT (corresponding author), Smithsonian Inst, Natl Museum Amer Hist, Dept Vertebrate Zool, Washington, DC 20560 USA.</t>
  </si>
  <si>
    <t>SAN JOSE</t>
  </si>
  <si>
    <t>UNIVERSIDAD DE COSTA RICA CIUDAD UNIVERSITARIA, SAN JOSE, COSTA RICA</t>
  </si>
  <si>
    <t>0034-7744</t>
  </si>
  <si>
    <t>REV BIOL TROP</t>
  </si>
  <si>
    <t>Rev. Biol. Trop.</t>
  </si>
  <si>
    <t>494YC</t>
  </si>
  <si>
    <t>WOS:000172312600015</t>
  </si>
  <si>
    <t>Hernández-Guerra, A; López-Laatzen, F; Machín, F; De Armas, D; Pelegrí, JL</t>
  </si>
  <si>
    <t>Water masses, circulation and transport in the eastern boundary current of the North Atlantic subtropical gyre</t>
  </si>
  <si>
    <t>Workshop and Conference on Oceanography</t>
  </si>
  <si>
    <t>NOV, 1998</t>
  </si>
  <si>
    <t>LAS PALMAS, SPAIN</t>
  </si>
  <si>
    <t>water masses; circulation; transport; eastern boundary current; subtropical gyre</t>
  </si>
  <si>
    <t>PHYTOPLANKTON PIGMENT PATTERNS; CANARY-ISLANDS AREA; THERMOCLINE CIRCULATION; GENERAL-CIRCULATION; FLOW PAST; OCEAN; VARIABILITY; VENTILATION; CYLINDER; EDDIES</t>
  </si>
  <si>
    <t>CTD sections carried out in September 1998 are used to describe the water masses, geostrophic circulation and mass transport in the easternmost branch of the Canary Current. The surface water mass (&lt; 600 m) consists of North Atlantic Central Water (NACW) flowing south with a net mass transport of 2.3 x 10(9) kg s(-1). A tongue of relatively fresh water, consisting of Antarctic Intermediate Water (AAIW), was found approximately in the 600-1100 m depth layer. This tongue was 200 km wide, stretching from the African coast almost to Gran Canaria Island, and transported a net mass of 1.1 x 10(9) kg s(-1) northward. This system of currents is what constitutes the real eastern boundary current of the North Atlantic Subtropical Gyre.</t>
  </si>
  <si>
    <t>Univ Las Palmas Gran Canaria, Fac Ciencias Mar, Las Palmas Gran Canaria, Canary Islands, Spain; Inst Espanol Oceanog, Tenerife, Canary Islands, Spain</t>
  </si>
  <si>
    <t>Universidad de Las Palmas de Gran Canaria; Spanish Institute of Oceanography</t>
  </si>
  <si>
    <t>Hernández-Guerra, A (corresponding author), Univ Las Palmas Gran Canaria, Fac Ciencias Mar, Las Palmas Gran Canaria, Canary Islands, Spain.</t>
  </si>
  <si>
    <t>Pelegrí, Josep L/L-5815-2014; Hernandez-Guerra, Alonso/A-4747-2008; Machin, Francisco/A-9287-2009</t>
  </si>
  <si>
    <t>Pelegrí, Josep L/0000-0003-0661-2190; Hernandez-Guerra, Alonso/0000-0002-4883-8123; Machin, Francisco/0000-0002-4281-6804</t>
  </si>
  <si>
    <t>PASSEIG JOAN DE BORBO, 08039 BARCELONA, SPAIN</t>
  </si>
  <si>
    <t>10.3989/scimar.2001.65s1177</t>
  </si>
  <si>
    <t>460AQ</t>
  </si>
  <si>
    <t>WOS:000170284000018</t>
  </si>
  <si>
    <t>Conway, P</t>
  </si>
  <si>
    <t>Max's 'Antarctic Symphony'</t>
  </si>
  <si>
    <t>TEMPO</t>
  </si>
  <si>
    <t>Music Performance Review</t>
  </si>
  <si>
    <t>BOOSEY HAWKES MUSIC PUBL LTD</t>
  </si>
  <si>
    <t>295 REGENT ST, LONDON W1R 8JH, ENGLAND</t>
  </si>
  <si>
    <t>0040-2982</t>
  </si>
  <si>
    <t>Tempo</t>
  </si>
  <si>
    <t>Music</t>
  </si>
  <si>
    <t>452PF</t>
  </si>
  <si>
    <t>WOS:000169866200012</t>
  </si>
  <si>
    <t>En echelon volcanic elongate ridges connecting intraplate Foundation Chain volcanism to the Pacific-Antarctic spreading center</t>
  </si>
  <si>
    <t>The development of volcanic elongate ridges (VERs) could be controlled in many cases by complex processes related to interaction between mantle plumes and spreading centers. We report here measured ages for the Foundation Chain, SE Pacific, showing that volcanism along morphologically distinct VERs can develop occasionally as rapidly formed continuous lines of coeval volcanism extending from a region of intraplate volcanism to the Pacific-Antarctic spreading center. But a significantly more dominant trend is for coeval, yet structurally disconnected, segments of Foundation Chain VERs to develop in a series of en echelon, NE-SW elongate 'zones' of coeval hotspot volcanism. These elongate zones developed at intervals of approximately 1 Myr while maintaining a basically steady state orientation and size as the Pacific-Antarctic spreading center migrated continually closer to the Foundation plume hotspot. We infer from this new information that Foundation Chain VER development was controlled by an interplay between short-lived, local factors (e.g. location of nearest spreading center segment, lithospheric stress) and long-lived attributes of the Foundation plume hotspot (e.g. size, orientation, periodicity). (C) 2001 Elsevier Science B.V. All rights reserved.</t>
  </si>
  <si>
    <t>Univ Kiel, GEOMAR, D-24148 Kiel, Germany; Univ Kiel, Inst Geosci, D-24118 Kiel, Germany; Vrije Univ Amsterdam, Dept Isotope Geochem, NL-1081 HV Amsterdam, Netherlands</t>
  </si>
  <si>
    <t>Helmholtz Association; GEOMAR Helmholtz Center for Ocean Research Kiel; University of Kiel; University of Kiel; Vrije Universiteit Amsterdam</t>
  </si>
  <si>
    <t>Wijbrans, J.R./M-6067-2019; Wijbrans, Jan/Q-1914-2016</t>
  </si>
  <si>
    <t>JUN 30</t>
  </si>
  <si>
    <t>10.1016/S0012-821X(01)00348-X</t>
  </si>
  <si>
    <t>446XM</t>
  </si>
  <si>
    <t>WOS:000169539500009</t>
  </si>
  <si>
    <t>Buchanan, PK</t>
  </si>
  <si>
    <t>Aphyllophorales in Australasia</t>
  </si>
  <si>
    <t>AUSTRALIAN SYSTEMATIC BOTANY</t>
  </si>
  <si>
    <t>ANTARCTIC PIPTOPORUS POLYPORACEAE; NEW-ZEALAND; PHYLOGENETIC-RELATIONSHIPS; ANNOTATED CHECKLIST; DNA-SEQUENCES; FUNGI; LLOYD,C.G.; BASIDIOMYCOTINA; CUNNINGHAM,G.H.; COMPATIBILITY</t>
  </si>
  <si>
    <t>Taxonomic knowledge of the Aphyllophorales of Australasia is reviewed. Recent literature is cited for groups of Aphyllophorales arranged pragmatically by type of hymenophore (polypore fungi (poroid and related lamellate taxa), corticioid, clavarioid, hydnoid, cantharelloid, cupuloid), along with numbers of recorded species, estimates of endemism and distinctive features of the Australasian mycota. With the partial exception of poroid and clavarioid fungi, the order is poorly known in the region. Their importance as pathogens, as sources of food and medicine and as arthropod associates is discussed, along with their relevance to biogeography. Although only limited collecting has been undertaken and few Australasian mycologists are actively researching these fungi, current preparation of checklists and recent taxonomic studies indicate renewed research interest.</t>
  </si>
  <si>
    <t>Landcare Res, Auckland, New Zealand</t>
  </si>
  <si>
    <t>Landcare Research - New Zealand</t>
  </si>
  <si>
    <t>Buchanan, PK (corresponding author), Landcare Res, Private Bag 92170, Auckland, New Zealand.</t>
  </si>
  <si>
    <t>buchananp@landcare.cri.nz</t>
  </si>
  <si>
    <t>Buchanan, Peter/0000-0001-5309-6438</t>
  </si>
  <si>
    <t>CSIRO PUBLISHING</t>
  </si>
  <si>
    <t>1030-1887</t>
  </si>
  <si>
    <t>AUST SYST BOT</t>
  </si>
  <si>
    <t>Aust. Syst. Bot.</t>
  </si>
  <si>
    <t>JUN 29</t>
  </si>
  <si>
    <t>10.1071/SB99033</t>
  </si>
  <si>
    <t>Plant Sciences; Evolutionary Biology</t>
  </si>
  <si>
    <t>447FH</t>
  </si>
  <si>
    <t>WOS:000169560500008</t>
  </si>
  <si>
    <t>Lazic, V; Barbini, R; Colao, F; Fantoni, R; Palucci, A</t>
  </si>
  <si>
    <t>Self-absorption model in quantitative laser induced breakdown spectroscopy measurements on soils and sediments</t>
  </si>
  <si>
    <t>SPECTROCHIMICA ACTA PART B-ATOMIC SPECTROSCOPY</t>
  </si>
  <si>
    <t>1st International Conference on Laser-Induced Plasma Spectroscopy and Applications (LIBS 2000)</t>
  </si>
  <si>
    <t>OCT 08-12, 2000</t>
  </si>
  <si>
    <t>TIRRENIA, ITALY</t>
  </si>
  <si>
    <t>LIBS; soil; concentration; self-absorption</t>
  </si>
  <si>
    <t>Application of laser induced breakdown spectroscopy (LIBS) in the quantitative analysis of elemental composition of soils with different origins and Antarctic marine sediments has been considered. The analytical method followed includes the usual plasma modeling at local thermal equilibrium (LTE) based on average temperature and electron density values, as well as spectra normalization, introduced in order to reduce the effects related both to the substrate optical and thermal properties and to the influence of laser parameters on quantitative data. The computational algorithm takes into account only atomic species and their first ionization states, which is sufficient at the plasma temperature measured in the experiments. Calibration curves are finally generated for each element of interest measured on certified samples with different provenience and matrix composition. In this paper a model is developed which takes into account the effects responsible for non-linearities in the relationship between line intensity and elemental concentration. The model properly includes line re-absorption and contributions from space regions with different plasma densities. Its application permits us to obtain the correlation coefficients between the LIBS measured and certified concentration of each element analyzed. These coefficients, specific for a given experimental layout and atomic lines data base, are successively applied in analytical LIBS measurements allowing for the direct determination of a single element concentration in any sample, regardless of its unknown matrix composition. The LIBS method presented here was tested on a priori unknown samples, and gave uncertainties in concentration varying from 15 to 40% over a large concentration range covering several orders of magnitude. The measuring error depends on element type, on the concentration value and also on the number of certified samples used for the initial calibration. The present results are already significant for some field application, such as on-board marine sediment analysis where a significant matrix variation with layer depth is common. (C) 2001 Elsevier Science B.V. All rights reserved.</t>
  </si>
  <si>
    <t>CR Frascati, ENEA, Div Fis Applicata, Rome, Italy</t>
  </si>
  <si>
    <t>Italian National Agency New Technical Energy &amp; Sustainable Economics Development</t>
  </si>
  <si>
    <t>CR Frascati, ENEA, Div Fis Applicata, Rome, Italy.</t>
  </si>
  <si>
    <t>colao@frascati.enea.it</t>
  </si>
  <si>
    <t>lazic, violeta/S-2985-2019</t>
  </si>
  <si>
    <t>lazic, violeta/0000-0002-0823-0359; PALUCCI, ANTONIO/0009-0006-9442-1544</t>
  </si>
  <si>
    <t>0584-8547</t>
  </si>
  <si>
    <t>1873-3565</t>
  </si>
  <si>
    <t>SPECTROCHIM ACTA B</t>
  </si>
  <si>
    <t>Spectroc. Acta Pt. B-Atom. Spectr.</t>
  </si>
  <si>
    <t>10.1016/S0584-8547(01)00211-7</t>
  </si>
  <si>
    <t>458KV</t>
  </si>
  <si>
    <t>WOS:000170194300022</t>
  </si>
  <si>
    <t>King, MD; Simpson, WR</t>
  </si>
  <si>
    <t>Extinction of UV radiation in Arctic snow at Alert, Canada (82°N)</t>
  </si>
  <si>
    <t>ABSORPTION-SPECTRA; ANTARCTIC SNOW; GREENLAND; SUMMIT; NOY</t>
  </si>
  <si>
    <t>Extinction of ultraviolet (UV) and visible radiation (300-548 nm) in snowpack is reported for surface snow used in snow-atmosphere exchange experiments during the Polar Sunrise Experiment ALERT 2000 (Canadian Forces Station Alert, Canada). The UV penetration distance is reported as the e-folding depth (the depth over which the monochromatic light irradiance decreases by a factor of e) for 2 nm wavelength intervals. Values in the range 5-6 cm are obtained for a uniform snowpack in the wavelength region between the ozone absorption edge in the UV and green light in the visible. Experimental evidence shows at most a weak dependence of the asymptotic e-folding depth on the solar zenith angle. Comparison of these data to previous studies indicates that the e-folding depths vary greatly between sites, most probably due to variations in impurities at each of the sites. These data imply that approximately 85% of a photochemical reaction occurs in the top 10 cm of snowpack at this site.</t>
  </si>
  <si>
    <t>Univ Alaska, Dept Chem, Int Arctic Res Ctr, Fairbanks, AK 99775 USA; Univ Alaska, Inst Geophys, Fairbanks, AK 99775 USA</t>
  </si>
  <si>
    <t>Univ Alaska, Dept Chem, Int Arctic Res Ctr, Fairbanks, AK 99775 USA.</t>
  </si>
  <si>
    <t>ffwrs@uaf.edu</t>
  </si>
  <si>
    <t>King, Martin/B-1308-2009; Simpson, William/I-2859-2014</t>
  </si>
  <si>
    <t>King, Martin/0000-0002-0089-7693; Simpson, William/0000-0002-8596-7290</t>
  </si>
  <si>
    <t>JUN 27</t>
  </si>
  <si>
    <t>D12</t>
  </si>
  <si>
    <t>10.1029/2001JD900006</t>
  </si>
  <si>
    <t>447FB</t>
  </si>
  <si>
    <t>WOS:000169559800011</t>
  </si>
  <si>
    <t>Bais, AF; Gardiner, BG; Slaper, H; Blumthaler, M; Bernhard, G; McKenzie, R; Webb, AR; Seckmeyer, G; Kjeldstad, B; Koskela, T; Kirsch, PJ; Gröbner, J; Kerr, JB; Kazadzis, S; Leszczynski, K; Wardle, D; Josefsson, W; Brogniez, C; Gillotay, D; Reinen, H; Weihs, P; Svenoe, T; Eriksen, P; Kuik, F; Redondas, A</t>
  </si>
  <si>
    <t>SUSPEN intercomparison of ultraviolet spectroradiometers</t>
  </si>
  <si>
    <t>WAVELENGTH SHIFT; UV MEASUREMENTS; SOLAR; IRRADIANCE; RADIATION; SPECTRA; ERROR</t>
  </si>
  <si>
    <t>Results from an intercomparison campaign of ultraviolet spectroradiometers that was organized at Nea Michaniona, Greece July, 1-13 1997, are presented. Nineteen instrument systems from 15 different countries took part and provided spectra of global solar UV irradiance for two consecutive days from sunrise to sunset every half hour. No data exchange was allowed between participants in order to achieve absolutely independent results among the instruments. The data analysis procedure included the determination of wavelength shifts and the application of suitable corrections to the measured spectra, their standardization to common spectral resolution of 1 nm full width at half maximum and the application of cosine corrections. Reference spectra were calculated for each observational time, derived for a set of instruments which were objectively selected and used as comparison norms for the assessment of the relative agreement among the various instruments. With regard to the absolute irradiance measurements, the range of the deviations from the reference for all spectra was within +/- 20%. About half of the instruments agreed to within +/-5%, while only three fell outside the +/- 10% agreement limit. As for the accuracy of the wavelength registration of the recorded spectra, for most of the spectroradiometers (14) the calculated wavelength shifts were smaller than 0.2 nm. The overall outcome of the campaign was very encouraging, as it was proven that the agreement among the majority of the instruments was good and comparable to the commonly accepted uncertainties of spectral UV measurements. In addition, many of the instruments provided consistent results relative to at least the previous two intercomparison campaigns, held in 1995 in Ispra, Italy and in 1993 in Garmisch-Partenkirchen, Germany. As a result of this series of intercomparison campaigns, several of the currently operating spectroradiometers operating may be regarded as a core group Of instruments, which with the employment of proper operational procedures are capable of providing quality spectral solar UV measurements.</t>
  </si>
  <si>
    <t>Aristotle Univ Thessaloniki, Dept Phys, Lab Atmospher Phys, GR-54006 Thessaloniki, Greece; Biospher Inc, San Diego, CA 92110 USA; Univ Sci &amp; Technol Lille, F-59655 Villeneuve Dascq, France; Univ Innsbruck, Inst Med Phys, A-6020 Innsbruck, Austria; Danish Meteorol Inst, DK-2100 Copenhagen, Denmark; British Antarctic Survey, Cambridge CB3 0ET, England; Inst Aeron Spatiale Belgique, B-1180 Brussels, Belgium; Swedish Meteorol &amp; Hydrol Inst, S-60176 Norrkoping, Sweden; Atmospher Environm Serv, Toronto, ON M3H 5T4, Canada; Norwegian Univ Sci &amp; Technol, Dept Phys, N-7034 Trondheim, Norway; Finnish Meteorol Inst, FIN-00101 Helsinki, Finland; Royal Netherlands Meteorol Inst, NL-3730 AE De Bilt, Netherlands; Radiat &amp; Nucl Safety Author, STUK, HUT, FIN-02015 Helsinki, Finland; Natl Inst Water &amp; Atmospher Res, NIWA Lauder, Central Otago 9182, New Zealand; Inst Nacl Meteorol, Santa Cruz De Tenerife 38005, Spain; Natl Inst Publ Hlth &amp; Environm, Radiat Res Lab, NL-3720 BA Bilthoven, Netherlands; Norwegian Inst Air Res, N-2027 Kjeller, Norway; Univ Manchester, Inst Sci &amp; Technol, Manchester M60 1QD, Lancs, England; Univ Bodenkultur Wien, Dept Phys &amp; Meteorol, A-1180 Vienna, Austria; Fraunhofer Inst Atmosphar Umweltforsch, D-8100 Garmisch Partenkirchen, Germany; Atmospher Environm Serv, Downsview, ON, Canada; Finnish Ctr Radiat &amp; Nucl Safety, Helsinki, Finland</t>
  </si>
  <si>
    <t>Aristotle University of Thessaloniki; Universite de Lille; University of Innsbruck; Danish Meteorological Institute DMI; UK Research &amp; Innovation (UKRI); Natural Environment Research Council (NERC); NERC British Antarctic Survey; Swedish Meteorological &amp; Hydrological Institute; Environment &amp; Climate Change Canada; Meteorological Service of Canada; Norwegian University of Science &amp; Technology (NTNU); Finnish Meteorological Institute; Royal Netherlands Meteorological Institute; Radiation &amp; Nuclear Safety Authority (STUK); Aalto University; National Institute of Water &amp; Atmospheric Research (NIWA) - New Zealand; Agencia Estatal de Meteorologia (AEMET); Netherlands National Institute for Public Health &amp; the Environment; NILU; University of Manchester; BOKU University; Fraunhofer Gesellschaft; Environment &amp; Climate Change Canada; Meteorological Service of Canada; Radiation &amp; Nuclear Safety Authority (STUK)</t>
  </si>
  <si>
    <t>Aristotle Univ Thessaloniki, Dept Phys, Lab Atmospher Phys, Campus Box 149, GR-54006 Thessaloniki, Greece.</t>
  </si>
  <si>
    <t>abais@auth.gr; Brian.Gardiner@bas.ac; Harry.Slaper@rivm.nl; Mario.Blumthaler@uibk.ac.at; bernhard@Biospherical.com; r.mckenzie@niwa.cri.nz; Ann.Webb@umist.ac.uk; seck-meyer@muk.uni-hannover.de; Berit.Kjeldstad@phys.ntnu.no; Tapani.Koskela@fmi.fi; Peter.Kirsch@bas.ac.uk; Julian.Groebner@jrc.it; jkerr@dow.on.doe.ca; skaza@physics.auth.gr; kirsti.leszczynski@evitech.fi; dwardle@dow.on.dae.ca; wjosefsson@smhi.se; Collette.Brogniez@univ-lillel.fr; dgill@oma.be; Henk.Reinen@rivm.nl; weihs@mail.boku.ac.at; trond.svenoe@nilu.no; pe@dmi.dk; kuik@knmi.nl; aredondas@inm.es</t>
  </si>
  <si>
    <t>Redondas, Alberto/L-9299-2015; Kazadzis, Stelios/A-5628-2011; Bernhard, Germar/AAZ-7169-2020; Philipp, Weihs/AAF-9027-2019; Bais, Alkiviadis F/D-2230-2009; Bernhard, Germar H/B-4460-2018</t>
  </si>
  <si>
    <t>Redondas, Alberto/0000-0002-4826-6823; Kazadzis, Stelios/0000-0002-8624-8247; Bernhard, Germar/0000-0002-1264-0756; Philipp, Weihs/0000-0001-7452-0330; Bais, Alkiviadis F/0000-0003-3899-2001; Grobner, Julian/0000-0002-1549-2525; McKenzie, Richard Lloyd/0000-0002-4484-7057; Kazadzis, Stelios/0000-0003-1031-0216</t>
  </si>
  <si>
    <t>10.1029/2000JD900561</t>
  </si>
  <si>
    <t>Green Accepted, Green Published, Bronze</t>
  </si>
  <si>
    <t>WOS:000169559800012</t>
  </si>
  <si>
    <t>Huesmann, AS; Hitchman, MH</t>
  </si>
  <si>
    <t>The stratospheric quasi-biennial oscillation in the NCEP reanalyses: Climatological structures</t>
  </si>
  <si>
    <t>TROPICAL LOWER STRATOSPHERE; SEMIANNUAL OSCILLATION; ANTARCTIC OZONE; GLOBAL QBO; INTERANNUAL VARIABILITY; GENERAL-CIRCULATION; ENSO VARIABILITY; NORTH PACIFIC; EL-NINO; MODEL</t>
  </si>
  <si>
    <t>Global quasi-biennial variation in the lower stratosphere and tropopause region is studied using 41 years (1958-1998) of reanalyses from the National Centers for Environmental Prediction (NCEP). Horizontal wind, temperature, geopotential height, tropopause temperature and pressure fields are used. A new quasi-biennial oscillation (QBO) indexing method is presented, which is based on the zonal mean zonal wind shear anomaly at the equator and is compared to the Singapore index. A phase difference compositing technique provides ''snapshots of the QBO meridional-vertical structure as it descends, and composite phases': provide a look at its time progression. Via binning large amounts of data, the first observation-based estimate of the QBO meridional circulation is obtained. High-latitude QBO variability supports previous studies that invoke planetary wave-mean flow interaction as an explanation. The meridional distribution of the range in QBO zonal wind is compared with the stratospheric annual cycle, with the annual cycle dominating poleward of similar to 12 degrees latitude but still being significant in the deep tropics. The issues of temporal shear zone asymmetries and phase locking with the annual cycle are critically examined. Subtracting the time mean and annual cycle removes similar to2/3 of the asymmetry in wind land wind shear) zone descent rate. The NCEP data validate previous findings that both the easterly and westerly QBO anomalous wind regimes in the lower stratosphere change sign preferentially during northern summer. It is noteworthy that the NCEP QBO amplitude and the relationships among the reanalyzed zonal wind, temperature, and meridional circulation undergo a substantial change around 1978.</t>
  </si>
  <si>
    <t>Univ Wisconsin, Dept Atmospher &amp; Ocean Sci, Madison, WI 53706 USA</t>
  </si>
  <si>
    <t>University of Wisconsin System; University of Wisconsin Madison</t>
  </si>
  <si>
    <t>Huesmann, AS (corresponding author), Univ Wisconsin, Dept Atmospher &amp; Ocean Sci, 1225 W Dayton St, Madison, WI 53706 USA.</t>
  </si>
  <si>
    <t>JUN 16</t>
  </si>
  <si>
    <t>D11</t>
  </si>
  <si>
    <t>10.1029/2001JD900031</t>
  </si>
  <si>
    <t>442TC</t>
  </si>
  <si>
    <t>WOS:000169300200011</t>
  </si>
  <si>
    <t>Michelsen, HA</t>
  </si>
  <si>
    <t>Carbon and hydrogen kinetic isotope effects for the reaction of Cl with CH4:: Consolidating chemical kinetics and molecular dynamics measurements</t>
  </si>
  <si>
    <t>LOWER ANTARCTIC STRATOSPHERE; DIFFERENTIAL CROSS-SECTIONS; POTENTIAL-ENERGY SURFACE; TRANSITION-STATE REGION; LARGE (CO)-C-13 DEFICIT; OZONE HOLE CHEMISTRY; ATMOSPHERIC CH4; CHLORINE ATOMS; METHANE; SPECTROSCOPY</t>
  </si>
  <si>
    <t>In order to estimate carbon and hydrogen kinetic isotope effects for the reaction Cl+ CH, at atmospheric temperatures, measured values of the rates of Cl reacting with (CH4)-C-13, (CH3D)-C-12, (CH2D2)-C-12, (CHD3)-C-12, and (CD4)-C-12 relative to those of Cl+(CH4)-C-12 were fit using a model that accounts for quantum mechanical tunneling. The model also includes vibrational enhancement of the reaction rate by excitation of the bending and stretching modes of CH,. These fits allow extrapolation of measured values to temperatures outside the range in which they were measured. In addition, the kinetic isotope effect for Cl+(CH4)-C-14 was predicted using this model based on the results for Cl+ (CH4)-C-13. The model results for Cl+(CH4)-C-14, Cl+(CH4)-C-13, and Cl+(CH3D)-C-12 were parameterized for use in atmospheric models.</t>
  </si>
  <si>
    <t>Sandia Natl Labs, Combust Res Facil, Livermore, CA 94551 USA</t>
  </si>
  <si>
    <t>United States Department of Energy (DOE); Sandia National Laboratories</t>
  </si>
  <si>
    <t>Michelsen, HA (corresponding author), Sandia Natl Labs, Combust Res Facil, MS 9055,POB 969, Livermore, CA 94551 USA.</t>
  </si>
  <si>
    <t>hamiche@ca.sandin.gov</t>
  </si>
  <si>
    <t>Michelsen, Hope/0000-0001-5802-6615</t>
  </si>
  <si>
    <t>10.1029/2000JD900689</t>
  </si>
  <si>
    <t>WOS:000169300200041</t>
  </si>
  <si>
    <t>Wu, LB; Chen, LM; Li, YS; Yang, Y; Shen, Y; Dong, ZQ; Fujii, Y</t>
  </si>
  <si>
    <t>Study on the abundance of CFCs varying with the latitude at the bottom of the troposphere in the southern hemisphere</t>
  </si>
  <si>
    <t>OZONE; HALOCARBONS</t>
  </si>
  <si>
    <t>As the main ozone depleting compounds, the abundance of CFCs in the troposphere and stratosphere has been focused on all the while. However, there are few reports concerning on the CFCs' latitudinal dependence. Relying on the longterm monitoring that has been performed in Shanghai from 1997 and Cooperating with the Chinese Third Antarctic Inland Ice-sheet Traversal Party, we did intensive sampling in the southern hemisphere from the beginning of November to the end of December in 1998 and then got the corresponding concentrations of CFC-12, CFC-11, and CFC-113 according to the latitude. The data were studied inductively in accordance with the geographical location and meteorological condition of every sampling point. In summary, the average concentrations of CFCs (ref er to CFC-11, CFC-12, and CFC-113) in equatorial area are the highest in the southern hemisphere; however, the concentrations in prevailing west-wind belt and polar east-wind belt are much lower and at the same levels, which should be a perfect implication of the mean background in the southern hemisphere. Being related to the special polar circumfluence, the concentrations of CFCs on the glacier reveal a special rise. Compared with the mean background of the southern hemisphere that is represented by the data of the prevailing west-wind belt and Polar east-wind belt, the concentrations in Shanghai bear the same level.</t>
  </si>
  <si>
    <t>Fudan Univ, Dept Environm Sci &amp; Engn, 220 Handan Rd, Shanghai 200433, Peoples R China; Polar Res Inst China, Shanghai 200129, Peoples R China; Natl Inst Polar Res, Tokyo, Japan</t>
  </si>
  <si>
    <t>Fudan University; Polar Research Institute of China; Research Organization of Information &amp; Systems (ROIS); National Institute of Polar Research (NIPR) - Japan</t>
  </si>
  <si>
    <t>Fudan Univ, Dept Environm Sci &amp; Engn, 220 Handan Rd, Shanghai 200433, Peoples R China.</t>
  </si>
  <si>
    <t>lmchen@fudan.edu.cn</t>
  </si>
  <si>
    <t>1520-5851</t>
  </si>
  <si>
    <t>JUN 15</t>
  </si>
  <si>
    <t>10.1021/es001268t</t>
  </si>
  <si>
    <t>443LY</t>
  </si>
  <si>
    <t>WOS:000169343700006</t>
  </si>
  <si>
    <t>Nodder, SD; Charette, MA; Waite, AM; Trull, TW; Boyd, PW; Zeldis, J; Buesseler, KO</t>
  </si>
  <si>
    <t>Particle transformations and export flux during an in situ iron-stimulated algal bloom in the Southern Ocean</t>
  </si>
  <si>
    <t>PARTICULATE ORGANIC-CARBON; PHYTOPLANKTON BLOOM; DIATOM; SINKING</t>
  </si>
  <si>
    <t>During the first Southern Ocean Iron RElease Experiment (SOIREE), a suite of biogeochemical measurements (water column Th-234 and delta C-13(org) inventories, particle fluxes from sediment traps, phytoplankton sinking rates) were undertaken to test the hypothesis that the vertical export of particulate organic carbon (POC) is enhanced due to iron-induced increases in phytoplankton production. During the 13-days that the SOIREE bloom was monitored, export fluxes within the iron-fertilised patch were not substantially different to those in waters outside the bloom. On days 11-13, iron enrichment may have caused particle transformations that could lead to elevated future export via particle aggregation and/or diatom chain formation. The unknown time-lag between increased production and export, the longevity of the SOIREE bloom, and the absence of nutrient limitation over days 1-13, however, prohibit prediction of any iron-induced export. This conclusion highlights the difficulties of fully testing the Iron Hypothesis and for evaluating the implications for global climate change.</t>
  </si>
  <si>
    <t>NIWA, Natl Water &amp; Atmospher Res, Wellington, New Zealand; Woods Hole Oceanog Inst, Woods Hole, MA 02543 USA; Univ Western Australia, Ctr Water Res, Nedlands, WA 6907, Australia; Univ Tasmania, Antarctic Cooperat Res Ctr, Hobart, Tas 7001, Australia; Univ Otago, Dept Chem, NIWA, Ctr Excellence Chem &amp; Phys Oceanog, Dunedin, New Zealand; Woods Hole Oceanog Inst, Woods Hole, MA 02543 USA; NIWA, Natl Inst Water &amp; Atmospher Res, Christchurch, New Zealand</t>
  </si>
  <si>
    <t>National Institute of Water &amp; Atmospheric Research (NIWA) - New Zealand; Woods Hole Oceanographic Institution; University of Western Australia; University of Tasmania; University of Otago; Woods Hole Oceanographic Institution; National Institute of Water &amp; Atmospheric Research (NIWA) - New Zealand</t>
  </si>
  <si>
    <t>NIWA, Natl Water &amp; Atmospher Res, Wellington, New Zealand.</t>
  </si>
  <si>
    <t>s.nodder@niwa.cri.nz; mcharette@whoi.edu; waite@cwr.uwa.edu.au; p.boyd@niwa.cri.nz; j.zeldis@niwa.cri.nz; kbuessler@woi.edu</t>
  </si>
  <si>
    <t>Trull, Tom W/B-7028-2014; Charette, Matthew/I-9495-2012; Waite, Anya/A-5492-2015; Boyd, Philip/J-7624-2014</t>
  </si>
  <si>
    <t>Waite, Anya/0000-0003-2965-0296; Boyd, Philip/0000-0001-7850-1911</t>
  </si>
  <si>
    <t>10.1029/2001GL013008</t>
  </si>
  <si>
    <t>472WT</t>
  </si>
  <si>
    <t>WOS:000171008500030</t>
  </si>
  <si>
    <t>Hindmarsh, RCA; Jenkins, A</t>
  </si>
  <si>
    <t>Centurial-millenial ice-rafted debris pulses from ablating marine ice sheets</t>
  </si>
  <si>
    <t>SHELF; OSCILLATIONS</t>
  </si>
  <si>
    <t>We use an ice-sheet model to show that (i) margins of marine ice-sheets can be expected to be frozen to the bed, except where ice-streams discharge; (ii) 20-50km retreats induced by ablation rates of 2 m/yr provide sufficient debris flux through the grounding line to produce large sedimentation events. Such ablation would reduce ice-shelf extent markedly, permitting debris to reach the calving front and be transported by icebergs leading to ice-rafted debris (IRD) events. Ice shelf break-up takes around a century (start of IRD pulse), while the creation of warm-based conditions (end of IRD pulse) due to upwards motion of warm ice takes a few more centuries. Such IRD pulses are unlikely to explain Heinrich events, which are associated with relatively cold periods within glaciations. Surges are not necessary conditions for the production of large IRD events.</t>
  </si>
  <si>
    <t>British Antarctic Survey, Nat Environm Res Council, Madingley Rd, Cambridge CB3 0ET, England.</t>
  </si>
  <si>
    <t>rcah@bas.ac.uk; ajen@bas.ac.uk</t>
  </si>
  <si>
    <t>Hindmarsh, Richard/N-1195-2019; Jenkins, Adrian/IUN-2406-2023</t>
  </si>
  <si>
    <t>Hindmarsh, Richard/0000-0003-1633-2416; Jenkins, Adrian/0000-0002-9117-0616</t>
  </si>
  <si>
    <t>10.1029/2000GL012697</t>
  </si>
  <si>
    <t>WOS:000171008500048</t>
  </si>
  <si>
    <t>Foster, EG; Ritz, DA; Osborn, JE; Swadling, KM</t>
  </si>
  <si>
    <t>Schooling affects the feeding success of Australian salmon (Arripis trutta) when preying on mysid swarms (Paramesopodopsis rufa)</t>
  </si>
  <si>
    <t>predatory fish schools; invertebrate prey swarms; Australian salmon; mysids</t>
  </si>
  <si>
    <t>SPINACHIA-SPINACHIA L; GASTEROSTEUS-ACULEATUS L; 15-SPINED STICKLEBACK; BEHAVIOR; FOOD; FISH; PREDATION</t>
  </si>
  <si>
    <t>When feeding on mysid swarms (Paramesopodopsis rufa), juvenile Australian salmon( Arripis trutta) had higher rates of successful attacks when foraging in a group of six fish (55% total advances) than when foraging alone (39% total advances). Six schooling fish had lower approach rates than solitary fish (25% and 37% of total advances, respectively), This result indicated that schooling fish were better at reducing the confusion effect of swarming prey, resulting in more efficient feeding. In larger areas, schools achieved higher rates of successful attacks (19 prey/fish in the large tank, compared with 11 prey/fish in the smaller tank). There was no influence on the feeding success of individual fish when changes were made to the number of prey presented to each fish, Nearest neighbour distances were smallest in the absence of prey, and increased with the introduction of prey and again in an attack sequence, Six fish schooled more cohesively than three fish, indicating increased benefits of schooling in larger groups that contribute to advanced vigilance and foraging techniques. (C) 2001 Elsevier Science B.V. All rights reserved.</t>
  </si>
  <si>
    <t>Univ Tasmania, Inst Antarctic &amp; So Ocean Studies, Hobart, Tas 7001, Australia; Univ Tasmania, Sch Zool, Hobart, Tas 7001, Australia; Univ Tasmania, Sch Geog &amp; Environm Studies, Hobart, Tas 7001, Australia</t>
  </si>
  <si>
    <t>University of Tasmania; University of Tasmania; University of Tasmania</t>
  </si>
  <si>
    <t>Foster, EG (corresponding author), Univ Tasmania, Inst Antarctic &amp; So Ocean Studies, GPO Box 252-877, Hobart, Tas 7001, Australia.</t>
  </si>
  <si>
    <t>Swadling, Kerrie/0000-0002-7620-841X; Osborn, Jon/0000-0003-2278-3766</t>
  </si>
  <si>
    <t>10.1016/S0022-0981(01)00265-9</t>
  </si>
  <si>
    <t>441UT</t>
  </si>
  <si>
    <t>WOS:000169248500006</t>
  </si>
  <si>
    <t>Nicholls, KW; Osterhus, S; Makinson, K; Johnson, MR</t>
  </si>
  <si>
    <t>Oceanographic conditions south of Berkner Island, beneath Filchner-Ronne Ice Shelf, Antarctica</t>
  </si>
  <si>
    <t>OCEAN CIRCULATION BENEATH; THERMOHALINE CIRCULATION; MODEL; ICEBERGS; CURRENTS; WATER; SEA</t>
  </si>
  <si>
    <t>We have made oceanographic measurements at two sites beneath the southern Filchner-Ronne Ice Shelf. Hot-water drilled access holes were made during January 1999, allowing conductivity-temperature-depth (CTD) profiling and the deployment of instrument moorings. The CTD profiles show that the entire water column is below the surface freezing point. We estimate the (summer) flux of water between the two sites to be 2 x 10(6) m(3) s(-1). The summer potential temperature-salinity properties of the water column suggest that this flow is part of a recirculation in the deepest part of the subice shelf cavity and the Filchner Depression. The recirculation is driven by a combination of the melting of deep basal ice and the freezing that results from the depressurization of the cold buoyant water as it ascends the ice shelf base. The source of the water was high-salinity shelf water (HSSW) produced in the Ronne Depression. This is the water that provides the external heat necessary for the strong melting at the deep grounding lines in the vicinity of Foundation Ice Stream. Instruments moored at the drill sites show that during the winter HSSW formed on the Berkner Shelf flows beneath the ice shelf and largely displaces the recirculating water from the two sites. This provides an externally driven through flow that is warmer (nearer the surface freezing point) and slower than the internal recirculation and which is low enough in density to escape the Filchner Depression.</t>
  </si>
  <si>
    <t>British Antarctic Survey, Natl Environm Res Council, Cambridge CB3 0ET, England; Univ Bergen, Inst Geophys, N-5007 Bergen, Norway</t>
  </si>
  <si>
    <t>UK Research &amp; Innovation (UKRI); Natural Environment Research Council (NERC); NERC British Antarctic Survey; University of Bergen</t>
  </si>
  <si>
    <t>British Antarctic Survey, Natl Environm Res Council, High Cross,Madingley Rd, Cambridge CB3 0ET, England.</t>
  </si>
  <si>
    <t>kwni@bas.ac.uk</t>
  </si>
  <si>
    <t>Makinson, Keith/A-2495-2013; N, Keith/E-9126-2010</t>
  </si>
  <si>
    <t>Makinson, Keith/0000-0002-5791-1767; Osterhus, Svein/0000-0001-9915-2685</t>
  </si>
  <si>
    <t>C6</t>
  </si>
  <si>
    <t>10.1029/2000JC000350</t>
  </si>
  <si>
    <t>442TU</t>
  </si>
  <si>
    <t>WOS:000169301700007</t>
  </si>
  <si>
    <t>Pouliquen, G; Gallet, Y; Patriat, P; Dyment, J; Tamura, C</t>
  </si>
  <si>
    <t>A geomagnetic record over the last 3.5 million years from deep-tow magnetic anomaly profiles across the Central Indian Ridge</t>
  </si>
  <si>
    <t>MID-ATLANTIC RIDGE; EAST PACIFIC RISE; POLARITY TIME-SCALE; COBB MOUNTAIN; OCEAN-FLOOR; LAYER 2A; FIELD; PALEOINTENSITY; MATUYAMA; REVERSALS</t>
  </si>
  <si>
    <t>High-resolution records of the geomagnetic field intensity over the last 4 Myr provided by paleomagnetic analyses of marine sediments have shown the occurrence of short-lived low field intensity features associated with excursions or short polarity intervals. In order to evaluate the ability of marine magnetic anomalies to record the same geomagnetic events, we have collected six deep-tow (similar to 500 m above the seafloor) and several sea surface magnetic anomaly profiles from the Central Indian Ridge across the Brunhes, Matuyama, and Gauss chrons (i.e., from the ridge axis to anomaly 2A). After removal of topography, latitude, and azimuth effects, we converted distances into time sequences using well-dated polarity reversal anomalies as tie points. We calculated the average signal to test the robustness of the short-wavelength anomalies. The resulting stacked profile is very similar to stacked sea surface and downward continued profiles from the Central Indian Ridge, the East Pacific Rise, and the Pacific-Antarctic Ridge. Our results suggest that in addition to polarity reversals, to previously suggested geomagnetic events (subchrons or excursions) within the Brunhes and Matuyama chrons. A new small-scale magnetic anomaly, likely generated by several closely spaced geomagnetic field intensity variations represent the major contributor to the detailed shape of recent marine magnetic anomalies in investigated areas. We observe a dense succession of microanomalies that are correlated excursions (Ontong Java 1 and 2, and Gilsa), is found after the Olduvai chron. The near-bottom results support the existence of three geomagnetic features between the Gauss-Matuyama boundary and Olduvai. They also suggest three geomagnetic events during the C2A.ln subchron within the Gauss chron. This study emphasizes the potential of deep-tow magnetic surveys in detecting fluctuations in geomagnetic field intensity and, in particular, short-lived excursions, a poorly constrained part of the geomagnetic field temporal variation spectrum.</t>
  </si>
  <si>
    <t>IPGP, Lab Gravimetrie &amp; Geodynam, UMR 7577, F-75252 Paris 05, France; Univ Bretagne Occidentale, IUEM, UMR 6538, F-29280 Plouzane, France; Univ Tokyo, Ocean Res Inst, Tokyo 164, Japan</t>
  </si>
  <si>
    <t>Universite Paris Cite; Universite de Bretagne Occidentale; Institut Universitaire Europeen de la Mer (IUEM); Centre National de la Recherche Scientifique (CNRS); CNRS - National Institute for Earth Sciences &amp; Astronomy (INSU); University of Tokyo</t>
  </si>
  <si>
    <t>IPGP, Lab Gravimetrie &amp; Geodynam, UMR 7577, Tour 26-0,1er Etage,4 Pl Jussieu, F-75252 Paris 05, France.</t>
  </si>
  <si>
    <t>Dyment, Jérôme/A-6788-2011</t>
  </si>
  <si>
    <t>JUN 10</t>
  </si>
  <si>
    <t>B6</t>
  </si>
  <si>
    <t>10.1029/2000JB900442</t>
  </si>
  <si>
    <t>440DG</t>
  </si>
  <si>
    <t>WOS:000169160200002</t>
  </si>
  <si>
    <t>Lythe, MB; Vaughan, DG</t>
  </si>
  <si>
    <t>BEDMAP Consortium</t>
  </si>
  <si>
    <t>BEDMAP: A new ice thickness and subglacial topographic model of Antarctica</t>
  </si>
  <si>
    <t>WEST ANTARCTICA; SATELLITE ALTIMETRY; SHEET; STREAM; SHELF; FLOW; SEA; ORGANIZATION; PREDICTION; BATHYMETRY</t>
  </si>
  <si>
    <t>Measurements of ice thickness on the Antarctic ice sheet collected during surveys undertaken over the past 50 years have been brought together into a single database. From these data, a seamless suite of digital topographic models have been compiled for Antarctica and its surrounding ocean. This includes grids of ice sheet thickness over the grounded ice sheet and ice shelves, water column thickness beneath the floating ice shelves, bed elevation beneath the grounded ice sheet, and bathymetry to 60 degreesS, including the sub-ice-shelf cavities. These grids are consistent with a recent high-resolution surface elevation model of Antarctica. While the digital models have a nominal spatial resolution of 5 km, such high resolution is justified by the original data density only over a few parts of the ice sheet. The suite does, however, provide an unparalleled vision of the geosphere beneath the ice sheet and a more reliable basis for ice sheet modeling than earlier maps. The total volume of the Antarctic ice sheet calculated from the BEDMAP grid is 25.4 million km(3), and the total sea level equivalent, derived from the amount of ice contained within the grounded ice sheet, is 57 m, comprising 52 m from the East Antarctic ice sheet and 5 m from the West Antarctic ice sheet, slightly less than earlier estimates. The gridded data sets can be obtained from the authors.</t>
  </si>
  <si>
    <t>British Antarctic Survey, Natl Environm Res Council, Cambridge CB3 0ET, England</t>
  </si>
  <si>
    <t>Lythe, MB (corresponding author), British Antarctic Survey, Natl Environm Res Council, Madingley Rd, Cambridge CB3 0ET, England.</t>
  </si>
  <si>
    <t>Vaughan, David/C-8348-2011; Hindmarsh, Richard C A/C-1405-2012; Bamber, Jonathan/C-7608-2011</t>
  </si>
  <si>
    <t>Bamber, Jonathan/0000-0002-2280-2819; Miller, Heinrich/0000-0003-1015-2828; Vaughan, David/0000-0002-9065-0570; Testut, Laurent/0000-0002-3969-2919; Jenkins, Adrian/0000-0002-9117-0616</t>
  </si>
  <si>
    <t>10.1029/2000JB900449</t>
  </si>
  <si>
    <t>WOS:000169160200025</t>
  </si>
  <si>
    <t>Lepidi, S; Francia, P; Cafarella, L</t>
  </si>
  <si>
    <t>Low-frequency (0.7-7.4 mHz) geomagnetic field fluctuations at high latitude: frequency dependence of the polarization pattern</t>
  </si>
  <si>
    <t>geomagnetic pulsations; MHD waves and instabilities; wave polarization; Antarctica</t>
  </si>
  <si>
    <t>A statistical analysis of the polarization pattern of low-frequency geomagnetic field fluctuations (0.7-7.4 mHz) covering the entire 24-h interval was performed at the Antarctic station Terra Nova Bay (80.0 degreesS geomagnetic latitude) throughout 1997 and 1998. The results show that the polarization pattern exhibits a frequency dependence, as can be expected from the frequency dependence of the latitude where the coupling between the magnetospheric compressional mode and the field line resonance takes place. The polarization analysis of single pulsation events shows that wave packets with different polarization sense, depending on frequency, can be simultaneously observed.</t>
  </si>
  <si>
    <t>Ist Nazl Geofis &amp; Vulcanol, I-67100 Laquila, Italy; Univ Aquila, Dipartimento Fis, I-67100 Laquila, Italy; Ist Nazl Geofis &amp; Vulcanol, Rome, Italy</t>
  </si>
  <si>
    <t>Istituto Nazionale Geofisica e Vulcanologia (INGV); University of L'Aquila; Istituto Nazionale Geofisica e Vulcanologia (INGV)</t>
  </si>
  <si>
    <t>Lepidi, S (corresponding author), Ist Nazl Geofis &amp; Vulcanol, C-O Castello Cinquecentesco, I-67100 Laquila, Italy.</t>
  </si>
  <si>
    <t>Cafarella, Lili/HTO-5890-2023; cafarella, lili/G-4160-2011</t>
  </si>
  <si>
    <t>cafarella, lili/0000-0003-2005-8923</t>
  </si>
  <si>
    <t>JUN</t>
  </si>
  <si>
    <t>481YP</t>
  </si>
  <si>
    <t>WOS:000171548300006</t>
  </si>
  <si>
    <t>Bianchi, C; Chiappini, M; Tabacco, IE; Zirizzotti, A; Zuccheretti, E</t>
  </si>
  <si>
    <t>Quasi-parabolic reflecting bottom surfaces of the Drygalski Antarctic floating ice tongue</t>
  </si>
  <si>
    <t>radio echo sounding; radio glaciology; glacier ice tongues</t>
  </si>
  <si>
    <t>RADAR</t>
  </si>
  <si>
    <t>Very high frequency deep radio sounding systems for ice thickness measurements are practically the only useful apparatuses for large scale radar flight surveys in polar regions. The morphology of the bottom surface of an Antarctic floating ice tongue, in the Ross Sea area, East Antarctica, was studied using the arrival times of signal echoes of the radio sounding system. The amplitude variations of radar signals from the reflecting surface were analyzed to determine the gain or the loss of the reflectors. Such surfaces show quasi-parabolic geometrical shapes at the ice/water interface with both concave and convex faces towards the sounding system. Electromagnetic analysis performed on radar echoes indicates that amplitude variations detected by the antenna are focusing or defocusing effects only due to the reflector's shape. A factor in the radar equation that represents the surface shape when coherent reflectors are involved is introduced. This factor allows us to determine more precisely the morphology and electromagnetic characteristics of the interface between the media investigated by means of radio echo sounding.</t>
  </si>
  <si>
    <t>Ist Nazl Geofis &amp; Vulcanol, I-00143 Rome, Italy; Univ Milan, Sez Geofis, Milan, Italy</t>
  </si>
  <si>
    <t>Istituto Nazionale Geofisica e Vulcanologia (INGV); University of Milan</t>
  </si>
  <si>
    <t>Bianchi, C (corresponding author), Ist Nazl Geofis &amp; Vulcanol, Via Vigna Murata 605, I-00143 Rome, Italy.</t>
  </si>
  <si>
    <t>Zirizzotti, Achille/HKE-0592-2023; Zuccheretti, Enrico/G-5821-2011</t>
  </si>
  <si>
    <t>Zuccheretti, Enrico/0000-0003-1732-4557; Zirizzotti, Achille/0000-0001-7586-9219</t>
  </si>
  <si>
    <t>WOS:000171548300010</t>
  </si>
  <si>
    <t>Walton, D</t>
  </si>
  <si>
    <t>Untitled</t>
  </si>
  <si>
    <t>10.1017/S0954102001000165</t>
  </si>
  <si>
    <t>472XH</t>
  </si>
  <si>
    <t>WOS:000171009900001</t>
  </si>
  <si>
    <t>Riley, TR; Knight, KB</t>
  </si>
  <si>
    <t>Age of pre-break-up Gondwana magmatism</t>
  </si>
  <si>
    <t>40Ar/39Ar; geochronology; Gondwana; large igneous province; U-Pb</t>
  </si>
  <si>
    <t>DRONNING MAUD LAND; 40AR/39AR GEOCHRONOLOGY; SYSTEMATIC-ERRORS; SILICIC VOLCANISM; ANOXIC EVENT; FERRAR; ANTARCTICA; PROVINCE; INTERCALIBRATION; PATAGONIA</t>
  </si>
  <si>
    <t>Extensive outpourings of basalt, and to a lesser extent rhyolite, are closely associated with continental break-up and plume-lithosphere interactions. The Gondwana supercontinent began to fragment during Early-Middle Jurassic times and was associated with the eruption of over three million km(3) of dominantly basaltic magma. This intense magmatic episode is recorded in volcanic rocks of the Karoo (Africa), Ferrar (Antarctica) and Chon Aike (South America). K-Ar and Rb-Sr whole rock geochronology has consistently failed to produce reliable ages for these volcanic rocks, but in the last four years, the wider application of single grain 40Ar/39Ar and/or U-Pb geochronology has produced more robust and precise dating of the magmatism. This paper reviews the recent advances in high precision geochronology and provides a fall recalibrated 40Ar/39Ar dataset. Application of these methods across the majority of the volcanic provinces indicates that approximately 80% of the volcanic rocks were erupted within a short, 3-4 Myr period at c. 182 Ma. This burst of magmatism occurred in the Karoo province at c. 183 Ma and in the Ferrar provinces at c. 180 Ma, and was dominated by mafic. volcanism. This peak in volcanism is coincident with a second order mass extinction event at the end of the Pliensbachian when c. 5% of marine families were wiped out coinciding with widespread oceanic anoxia in the early Toarcian. A prolonged period of silicic volcanism occurred along the proto-Pacific margin, prior to, and during the main phase of break-up. Silicic. volcanism was initially coincident with the plume related Karoo-Ferrar provinces, but continued over c. 40 Myr, associated with lithospheric extension and subduction along the proto-Pacific continental margin.</t>
  </si>
  <si>
    <t>British Antarctic Survey, NERC, Cambridge CB3 0ET, England; Univ Calif Berkeley, Dept Earth &amp; Planetary Sci, Berkeley, CA 94720 USA; Danish Lithosphere Ctr, DK-1350 Copenhagen K, Denmark</t>
  </si>
  <si>
    <t>UK Research &amp; Innovation (UKRI); Natural Environment Research Council (NERC); NERC British Antarctic Survey; University of California System; University of California Berkeley</t>
  </si>
  <si>
    <t>Riley, Teal/0000-0002-3333-5021</t>
  </si>
  <si>
    <t>10.1017/S0954102001000177</t>
  </si>
  <si>
    <t>WOS:000171009900002</t>
  </si>
  <si>
    <t>Abele, D; Tesch, C; Wencke, P; Pörtner, HO</t>
  </si>
  <si>
    <t>How does oxidative stress relate to thermal tolerance in the Antarctic bivalve Yoldia eightsi?</t>
  </si>
  <si>
    <t>Antarctica; heat stress; metabolic rate; oxidative stress; Yoldia eightsi</t>
  </si>
  <si>
    <t>ELEVATED-TEMPERATURES; HYDROGEN-PEROXIDE; OXYGEN; INVERTEBRATES; METABOLISM; EXPOSURE; MUSSELS; REEF</t>
  </si>
  <si>
    <t>Short and long-term exposure to elevated temperatures were studied in the Antarctic stenothermal protobranch bivalve Yoldia eightsi (Courthouy) from Potter Cove, King George Island (South Shetland Islands, Antarctica). Above a breakpoint temperature of 2 degreesC - the upper habitat temperature for the Potter Cove Y eightsi stock - both routine (RMR) and standard metabolic rate (SMR) increased steeply. The fraction of metabolism allocated to SMR, as well as the number of intervals of elevated activity per hour increased significantly-with temperature. During acute exposure, ATP concentrations in the foot muscle peaked at 2 degreesC and fell at 5 degreesC, whereas superoxide dismutase (SOD) activity decreased upon warming. Slow stepwise warming to a final temperature of 11 degreesC resulted in a significant decrease of SOD activity. Malondialdehyde concentration increased compared with controls at 0 degreesC. In contrast to the effect of short-term exposure, tissue adenylate concentrations displayed a mild increase at higher temperatures during slow warming, indicating an acclimation response. A switch to anaerobic energy production could not be observed up to 11 degreesC, demonstrating a higher level of thermal tolerance than in other Antarctic ectotherms, or a failure of the relevant pathways in Y eightsi. The imbalance between pro- and antioxidant processes upon warming indicate oxidative stress to be one feature accompanying early heat stress in Y eightsi.</t>
  </si>
  <si>
    <t>Alfred Wegener Inst Polar &amp; Marine Res, D-27568 Bremerhaven, Germany; Univ Konstanz, Inst Limnol, D-78457 Constance, Germany; Univ Bremen, D-28359 Bremen, Germany</t>
  </si>
  <si>
    <t>Helmholtz Association; Alfred Wegener Institute, Helmholtz Centre for Polar &amp; Marine Research; University of Konstanz; University of Bremen</t>
  </si>
  <si>
    <t>abele@awi-bremerhaven.de</t>
  </si>
  <si>
    <t>Pörtner, Hans-O./0000-0001-6535-6575; Abele, Doris/0000-0002-5766-5017</t>
  </si>
  <si>
    <t>10.1017/S0954102001000189</t>
  </si>
  <si>
    <t>WOS:000171009900003</t>
  </si>
  <si>
    <t>Herborg, LM; Thomas, DN; Kennedy, H; Haas, C; Dieckmann, GS</t>
  </si>
  <si>
    <t>Dissolved carbohydrates in Antarctic sea ice</t>
  </si>
  <si>
    <t>bacteria; carbon cycling; diatoms; dissolved organic carbon; monocarbohydrates; polycarbohydrates; sea ice</t>
  </si>
  <si>
    <t>WEDDELL SEA; MCMURDO-SOUND; ORGANIC-MATTER; PLATELET ICE; PACK ICE; POLYSACCHARIDE PRODUCTION; MICROBIAL COMMUNITIES; CARBON ASSIMILATION; UNDERLYING WATER; STANDING STOCK</t>
  </si>
  <si>
    <t>Concentrations of dissolved monocarbohydrates (MCHO) and polycarbohydrates (PCHO) were analysed in a variety of ice habitats from summer Weddell Sea sea ice (surface ponds, ice cores, gap layers and platelet ice). The dissolved organic carbon (DOC) pool in these habitats was also measured and the contribution of carbohydrate to this pool was assessed. The DOC concentrations within all sea ice habitats were high compared to surface seawater concentrations with values up to 958 mu MC being measured. Total carbohydrates (TCHO) were highest in the ice cores and platelet ice samples, up to 31% of the DOC pool, a reflection of the high algal biomass in these two habitat classes. TCHO in the other habitats ranged between 10% and 29% of DOC. The ratios of MCHO to PCHO varied considerably between the ice habitats: in surface ponds and ice cores MCHO was 70% of the TCHO pool, whereas in gap layers and platelet ice there were lower PCHO concentrations resulting in MCHO being 88% of TCHO.</t>
  </si>
  <si>
    <t>Univ Wales, Sch Ocean Sci, Menai Bridge LL59 5EY, Anglesey, Wales; Alfred Wegener Inst Polar &amp; Marine Res, D-27570 Bremerhaven, Germany</t>
  </si>
  <si>
    <t>Univ Wales, Sch Ocean Sci, Menai Bridge LL59 5EY, Anglesey, Wales.</t>
  </si>
  <si>
    <t>d.thomas@bangor.ac.uk</t>
  </si>
  <si>
    <t>Kennedy, Hilary A/M-5574-2014; Dieckmann, Gerhard S/B-4307-2010; Thomas, David Neville/B-1448-2010; Haas, Christian/L-5279-2016</t>
  </si>
  <si>
    <t>Kennedy, Hilary A/0000-0003-2290-2120; Thomas, David Neville/0000-0001-8832-5907; Haas, Christian/0000-0002-7674-3500</t>
  </si>
  <si>
    <t>10.1017/S0954102001000190</t>
  </si>
  <si>
    <t>WOS:000171009900004</t>
  </si>
  <si>
    <t>Leishman, MR; Wild, C</t>
  </si>
  <si>
    <t>Vegetation abundance and diversity in relation to soil nutrients and soil water content in Vestfold Hills, East Antarctica</t>
  </si>
  <si>
    <t>lichen; moss; nitrogen; ornithogenic; phosphorus; soil water content</t>
  </si>
  <si>
    <t>TERRESTRIAL VEGETATION; VICTORIA-LAND; COMMUNITIES; PATTERNS; ECOLOGY; LICHENS; ISLAND</t>
  </si>
  <si>
    <t>Eighteen paired sites (adjacent to vs away from seabird nests) and six transects (downslope of nests) across Vestfold Hills were sampled for vegetation, soil nutrients, soil water content and percent rock cover. Three moss and 17 lichen species were recorded, including a new record for the lichen Sarcogyne privigna. Sites adjacent to nesting areas generally had higher soil N and P than sites away from nesting areas; however, larger differences between site locations than within site pairs suggests considerable variation in nutrient input between nesting areas and/or redistribution of nutrients by meltwater around nests. Along transects below nesting sites, average soil total N declined from 0.22% to 0.05% within 2 in from the nest, while average total P declined more gradually from 2343 ppm P to 697 ppm P at 30 in from the nest. Moss and lichen species diversity and mean lichen species abundance were higher in sites adjacent to compared with away from nests. Data from site pairs and transects showed that lichen diversity and abundance increased with increasing soil nutrients, with soil P having a stronger influence than soil N. In contrast, soil nutrients were not significantly associated with moss diversity or abundance. Instead, number of moss species and abundance were positively associated with soil water content.</t>
  </si>
  <si>
    <t>Macquarie Univ, Dept Biol Sci, N Ryde, NSW 2109, Australia</t>
  </si>
  <si>
    <t>Macquarie University</t>
  </si>
  <si>
    <t>Macquarie Univ, Dept Biol Sci, N Ryde, NSW 2109, Australia.</t>
  </si>
  <si>
    <t>Leishman, Michelle/AAU-4102-2020</t>
  </si>
  <si>
    <t>Leishman, Michelle/0000-0003-4830-5797</t>
  </si>
  <si>
    <t>10.1017/S0954102001000207</t>
  </si>
  <si>
    <t>WOS:000171009900005</t>
  </si>
  <si>
    <t>Mercer, RD; Gabriel, AGA; Barendse, J; Marshall, DJ; Chown, SL</t>
  </si>
  <si>
    <t>Invertebrate body sizes from Marion Island</t>
  </si>
  <si>
    <t>body size; Collembola; insects; macroecology; mites; sub-Antarctic assemblages</t>
  </si>
  <si>
    <t>ANTARCTIC WEEVILS COLEOPTERA; LENGTH-WEIGHT RELATIONSHIPS; CLIMATE-CHANGE; ANIMAL ABUNDANCE; SPECIES NUMBER; PATTERNS; ECOLOGY; ACARI; HISTORY; LIFE</t>
  </si>
  <si>
    <t>Body size was measured for 67 of the approximately 120 invertebrate species on Marion Island. These include more than 60% of the 29 acarine families, and more than 80% of the remaining terrestrial invertebrate species. Thus the data are regarded as representative of the entire invertebrate fauna of sub-Antarctic, Marion Island. Length-mass and fresh-dry mass relationships were calculated for orders, families and species to provide a means of estimating body size parameters for species in collections and those which are known from only a few specimens. A comparison of the regression slopes for the different taxonomic ranks indicates that it is better to use regressions from the lowest possible taxonomic level for prediction of body mass. Differences between length-mass relationships for Marion Island insects and continental assemblages raises the question as to the applicability of continental regressions to sub-Antarctic species. This study provides a useful means for estimating body size parameters for Antarctic and sub-Antarctic invertebrates and provides baseline data on an important species trait that seems to be changing with local and global environmental changes.</t>
  </si>
  <si>
    <t>Univ Pretoria, Dept Zool &amp; Entomol, ZA-0002 Pretoria, South Africa; Univ KwaZulu Natal, Sch Life &amp; Environm Sci, ZA-4000 Durban, South Africa</t>
  </si>
  <si>
    <t>University of Pretoria; University of Kwazulu Natal</t>
  </si>
  <si>
    <t>slchown@azoology.up.ac.za</t>
  </si>
  <si>
    <t>Chown, Steven/ABD-7646-2021; Barendse, Jaco/F-7064-2012; Chown, Steven L/H-3347-2011</t>
  </si>
  <si>
    <t>10.1017/S0954102001000219</t>
  </si>
  <si>
    <t>WOS:000171009900006</t>
  </si>
  <si>
    <t>A new species of Ammothea (Pycnogonida) and other pycnogonids from Livingston Island and surrounding waters (South Shetland Islands, Antarctica)</t>
  </si>
  <si>
    <t>ammothea; Antarctic; Bentart-95 Cruise; Livingston Island; pycnogonids</t>
  </si>
  <si>
    <t>SOUTHEASTERN WEDDELL SEA; COMMUNITIES; SHELF</t>
  </si>
  <si>
    <t>Fifty-nine species of pycnogonids belonging to sixteen genera and eight families were collected during a cruise near Livingston Island and surrounding waters, from depths between 0 and 1019 m. The new species Ammothea bentartica is described fully, illustrated and compared with similar species. The family Nymphonidae had both the greatest number of species (20) and number of specimens (67% of 1201). The most abundant species were Nymphon charcoti and N. australe. Nymphon paucidens and Pallenopsis buphtalmus were collected for a second time. The collections increased the geographical distribution of five species and the depth range of seven species. This collection appears typical of the West Antarctic zone.</t>
  </si>
  <si>
    <t>Univ Autonoma Barcelona, Zool Lab, E-08193 Barcelona, Spain</t>
  </si>
  <si>
    <t>León, TM (corresponding author), Univ Autonoma Barcelona, Zool Lab, E-08193 Barcelona, Spain.</t>
  </si>
  <si>
    <t>10.1017/S0954102001000220</t>
  </si>
  <si>
    <t>WOS:000171009900007</t>
  </si>
  <si>
    <t>Schnack-Schiel, SB; Thomas, DN; Haas, C; Dieckmann, GS; Alheit, R</t>
  </si>
  <si>
    <t>The occurrence of the copepods Stephos longipes (Calanoida) and Drescheriella glacialis (Harpacticoida) in summer sea ice in the Weddell Sea, Antarctica</t>
  </si>
  <si>
    <t>copepods; Drescheriella glacialis; sea ice; seasonality; Stephos longipes</t>
  </si>
  <si>
    <t>COMMUNITY; ABUNDANCE</t>
  </si>
  <si>
    <t>In January to March 1997, a RV Polarstern cruise that transected the Weddell Sea resulted in samples being taken in thick pack ice in the south-eastern Weddell Sea and then along the marginal ice edge towards the Antarctic Peninsula. Several ice types were thus sampled over a wide geographic area during late summer/early autumn. Common features of the first warm period was the occurrence of surface ponds, and that many floes had quasi-continuous horizontal gaps, underlying a layer of ice and metamorphic snow. With the onset of cold air temperatures in late February the gaps rapidly refroze. The calanoid copepod Stephos longipes occurred in all habitats encountered and showed highest numbers in the surface ice in summer, in the gap water during both seasons and in the refrozen gap water in autumn. Nauplii outnumbered copepodids in the surface ice and refrozen gap water, while in the gap water copepodids, mainly stages CI-CIII in summer and CII-CIV in autumn, comprised about 70% of the total population. The harpacticoid species Drescheriella glacialis did not occur in all habitats and was missing in surface ponds and new ice. Nauplii of D. glacialis were rarely found in gap water, but predominated in the refrozen gaps.</t>
  </si>
  <si>
    <t>Alfred Wegener Inst Polar &amp; Meeresforsch, D-27515 Bremerhaven, Germany; Univ Wales Bangor, Sch Ocean Sci, Menai Bridge LL59 5EY, Anglesey, Wales</t>
  </si>
  <si>
    <t>Helmholtz Association; Alfred Wegener Institute, Helmholtz Centre for Polar &amp; Marine Research; Bangor University</t>
  </si>
  <si>
    <t>Schnack-Schiel, SB (corresponding author), Alfred Wegener Inst Polar &amp; Meeresforsch, D-27515 Bremerhaven, Germany.</t>
  </si>
  <si>
    <t>Thomas, David Neville/B-1448-2010; Dieckmann, Gerhard S/B-4307-2010; Haas, Christian/L-5279-2016</t>
  </si>
  <si>
    <t>Thomas, David Neville/0000-0001-8832-5907; Haas, Christian/0000-0002-7674-3500</t>
  </si>
  <si>
    <t>10.1017/S0954102001000232</t>
  </si>
  <si>
    <t>WOS:000171009900008</t>
  </si>
  <si>
    <t>Del Valle, RA; Miller, H</t>
  </si>
  <si>
    <t>Transpressional deformation along the margin of Larsen Basin: new data from Pedersen Nunatak, Antarctic Peninsula</t>
  </si>
  <si>
    <t>Antarctic Peninsula; Larsen Basin; structural geology; transpressional tectonics; Weddell Sea coast</t>
  </si>
  <si>
    <t>New structural data from the northern Antarctic Peninsula suggest that reverse faults and folds affecting the Pedersen Nunatak beds of the upper Mesozoic-Lower Cenozoic Larsen Basin succession were produced by transpressional forces acting parallel to the Weddell Sea coast of the Antarctic Peninsula during mid-Cretaceous compression of the Larsen Basin. At Pedersen Nunatak, Larsen Basin rocks are deformed into a series of synclines and anticlines that are cut by reverse faults.</t>
  </si>
  <si>
    <t>Univ Munich, Inst Allgemeine &amp; Angew Geol, D-80333 Munich, Germany; Inst Antart Argentino, RA-1010 Buenos Aires, DF, Argentina</t>
  </si>
  <si>
    <t>University of Munich; Instituto Antartico Argentino</t>
  </si>
  <si>
    <t>Miller, H (corresponding author), Univ Munich, Inst Allgemeine &amp; Angew Geol, Luisenstr 37, D-80333 Munich, Germany.</t>
  </si>
  <si>
    <t>WOS:000171009900009</t>
  </si>
  <si>
    <t>Khim, BK; Il Hoon, H; Kim, Y; Shin, IC</t>
  </si>
  <si>
    <t>Late Holocene stable isotope chronology and meltwater discharge event in Maxwell and Admiralty bays, King George Island, Antarctica</t>
  </si>
  <si>
    <t>climate; (14)C age; King George Island; late Holocene; meltwater; stable isotope</t>
  </si>
  <si>
    <t>SOUTH SHETLAND-ISLANDS; ATMOSPHERIC C-14; GREENLAND ICE; SEDIMENTS; MARINE; RECORDS; SEA; OSCILLATIONS; LINKAGES; DEPOSITS</t>
  </si>
  <si>
    <t>Two short gravity cores were retrieved to obtain palaeoclimatic information from Maxwell and Admiralty bays, King George Island, South Shetland Islands. AMS (14)C age dates, sediment properties (grain size, TOC and CaCO(3)) and stable oxygen and carbon isotope compositions of benthic foraminifera. (Globocassidulina biora) show downcore variations that characterize depositional conditions during the late Holocene. In particular, delta (18)O values of benthic foraminifera are lowest at approximately 2500 yr BP in both cores. A low delta (18)O time-equivalent excursion in both cores is interpreted to reflect a distinct subglacial meltwater discharge intensified by warm climatic conditions. An increased proportion of fine-grained detritus and higher TOC in the cores at Us level suggests that enhanced meltwater supply may have resulted in increased primary productivity. This meltwater discharge event provides evidence of climatic instability during the late Holocene at King George Island.</t>
  </si>
  <si>
    <t>Korea Ocean Res &amp; Dev Inst, Polar Sci Lab, Ansan 425600, South Korea; KORDI, Marine Environm &amp; Climate Change Lab, Ansan 425600, South Korea</t>
  </si>
  <si>
    <t>Korea Institute of Ocean Science &amp; Technology (KIOST); Korea Institute of Ocean Science &amp; Technology (KIOST)</t>
  </si>
  <si>
    <t>Khim, BK (corresponding author), Korea Ocean Res &amp; Dev Inst, Polar Sci Lab, POB 29, Ansan 425600, South Korea.</t>
  </si>
  <si>
    <t>bkkhim@kordi.re.kr</t>
  </si>
  <si>
    <t>10.1017/S0954102001000256</t>
  </si>
  <si>
    <t>WOS:000171009900010</t>
  </si>
  <si>
    <t>Narcisi, B; Proposito, M; Frezzotti, M</t>
  </si>
  <si>
    <t>Ice record of a 13th century explosive volcanic eruption in northern Victoria Land, East Antarctica</t>
  </si>
  <si>
    <t>ice core; non-sea salt sulphate; northern Victoria Land; Talos Dome; tephra; volcanism</t>
  </si>
  <si>
    <t>TEPHRA LAYERS; BYRD-STATION; MOUNT EREBUS; ROSS ISLAND; CORE; STRATIGRAPHY; GREENLAND; TRANSPORT; ISOTOPE; GLACIER</t>
  </si>
  <si>
    <t>A volcanic event, represented by both coarse ash and a prominent sulphate peak, has been detected at a depth of 85.82 in in a 90 in ice core drilled at Talos Dome, nor-them Victoria Land. Accurate dating of the core, based on counting annual sulphate and nitrate fluctuations and on comparison with records of major known volcanic eruptions, indicates that the event occurred in 1254 +/- 2 AD. The source volcano is most likely to be located within the Ross Sea region. In particular, the glass shards have a trachytic composition similar to rocks from The Pleiades and Mount Rittmann (Melbourne volcanic province), about 200 kin from Talos Dome. Sulphate concentration is comparable with that of violent extra-Antarctic explosive events recorded in the same core, but atmospheric perturbation was short-lived and localized, suggesting a negligible impact on regional climate. It is suggested that this eruption may represent the most important volcanic explosion in the Melbourne province during the last eight centuries; thus this event may also represent a valuable chrono-stratigraphical marker on the East Antarctic plateau and in adjoining areas.</t>
  </si>
  <si>
    <t>ENEA, CR Casaccia, I-00100 Rome, Italy; Museo Nazl Antartide, I-53100 Siena, Italy</t>
  </si>
  <si>
    <t>ENEA, CR Casaccia, POB 2400, I-00100 Rome, Italy.</t>
  </si>
  <si>
    <t>narcisi@casaccia.enea.it</t>
  </si>
  <si>
    <t>FREZZOTTI, Massimo/AAK-7275-2020</t>
  </si>
  <si>
    <t>FREZZOTTI, Massimo/0000-0002-2461-2883; Proposito, Marco/0000-0002-5977-3003</t>
  </si>
  <si>
    <t>10.1017/S0954102001000268</t>
  </si>
  <si>
    <t>WOS:000171009900011</t>
  </si>
  <si>
    <t>Siegert, MJ; Eyers, RD; Tabacco, IE</t>
  </si>
  <si>
    <t>Three-dimensional ice sheet structure at Dome C, central East Antarctica: implications for the interpretation of the EPICA ice core</t>
  </si>
  <si>
    <t>East Antarctica; ice cores; radar layering</t>
  </si>
  <si>
    <t>SITE</t>
  </si>
  <si>
    <t>Airborne radar data acquired in 1995 by the Italian Antarctic Programme over Dome C in central East Antarctica were processed to develop maps of internal isochronous ice sheet layering around the EPICA ice core site. Three internal layers were traced continuously across the radar-survey area at ice depths of 1-2 km. The maps reveal that the ice core site is located where internal layers are near horizontal to depths of at least 2 km. The Italian radar data do not resolve internal layers below 2 km. However, radar data collected over this part of East Antarctica in the 1970s show the internal layers to depths of up to 4 km. These internal layers reveal the regional structure of ice to the west of Dome C. Layers from both surveys are dated through an existing chronostratigraphic link between the Vostok ice core site and Dome C. The pattern of internal layering at Dome C reflects relatively steady conditions of ice flow and accumulation for the last 100 000 years. However, for ice older than this we show that there is significant local variation in the thickness between internal layers and the ice-sheet base. Our maps provide an indication of the structure of the ice sheet from which the EPICA deep ice core will be taken.</t>
  </si>
  <si>
    <t>Univ Bristol, Sch Geog Sci, Bristol Glaciol Ctr, Bristol BS8 1SS, Avon, England; Univ Milan, Dept Earth Sci, I-20129 Milan, Italy</t>
  </si>
  <si>
    <t>University of Bristol; University of Milan</t>
  </si>
  <si>
    <t>Siegert, Martin/M-9939-2019; Siegert, Martin J/A-3826-2008</t>
  </si>
  <si>
    <t>Siegert, Martin/0000-0002-0090-4806; Siegert, Martin J/0000-0002-0090-4806</t>
  </si>
  <si>
    <t>10.1017/S095410200100027X</t>
  </si>
  <si>
    <t>WOS:000171009900012</t>
  </si>
  <si>
    <t>Smellie, JL</t>
  </si>
  <si>
    <t>Lithostratigraphy and volcanic evolution of Deception Island, South Shetland Islands</t>
  </si>
  <si>
    <t>caldera; Deception Island; lithostratigraphy; volcanic evolution; volcanic hazard</t>
  </si>
  <si>
    <t>NEAPOLITAN YELLOW TUFF; BRANSFIELD STRAIT; BACK-ARC; PYROCLASTIC DEPOSITS; ANTARCTIC PENINSULA; CHEJU ISLAND; GEOCHEMISTRY; TEPHROCHRONOLOGY; CALDERAS; MIOCENE</t>
  </si>
  <si>
    <t>Deception Island is the most active volcano in the Antarctic Peninsula region. It is a large basalt-andesite shield volcano with a 10 km-wide restless caldera (Port Foster) and a complicated history of pre- and post-caldera eruptions. There has been no modem volcanological investigation of the entire island and it remains a largely unknown volcanic hazard. The pre-caldera period on the island began with the low-energy eruption of tephras from multiple centres (Fumarole Bay Formation), possibly by subaqueous fire fountaining during shoaling and likely initial emergence of the volcano. It was followed by subaerial effusive to weakly pyroclastic (Strombolian/Hawaiian) activity that constructed a small basaltic shield (Basaltic ShieldFormation), and a large eruption that vented about 30 km(3) of magma (Outer Coast Tuff Formation). The latter eruption may have been triggered by an influx of compositionally different magma into the main chamber feeding the volcano, and the evidence suggests that it was associated with a significant involvement with water (seawater?). The eruption was followed by caldera collapse, and there have been several small incremental caldera collapses subsequently. Post-caldera eruptions were all small-volume and predominantly phreatomagmatic (Baily Head and Pendulum Cove formations), but magmatic eruptions constructed several small lava deltas around the coast and also produced a local carapace of scoria and thin lavas, particularly around the caldera rim (Stonethrow Ridge Formation). Although the caldera is presently resurging, interpretation of the eruptive history of the island suggests that future eruptions are likely to be small in volume and will have only a limited regional impact.</t>
  </si>
  <si>
    <t>10.1017/S0954102001000281</t>
  </si>
  <si>
    <t>WOS:000171009900013</t>
  </si>
  <si>
    <t>Reijmer, CH; Van den Broeke, MR</t>
  </si>
  <si>
    <t>Moisture source of precipitation in Western Dronning Maud Land, Antarctica</t>
  </si>
  <si>
    <t>accumulation; Automatic Weather Stations; Dronning Maud Land; EPICA; moisture sources; trajectories</t>
  </si>
  <si>
    <t>DEUTERIUM EXCESS; ICE-CORE; SNOW; ACCUMULATION; CLIMATE; TRAJECTORIES; REANALYSIS; ORIGIN; IMPACT</t>
  </si>
  <si>
    <t>Moisture sources for snow falling in Dronning Maud Land (I)ML), Antarctica, are calculated for 1998 using three dimensional 5-days backward air parcel trajectories. The drilling site of the European Project on Ice Coring in Antarctica (EPICA) in DML is chosen as the main arrival point (75.0 degreesS, 0.01 degreesE). A distinction is made between trajectories with and Without snowfall at arrival. Of the snowfall trajectories, 40-80% are located in the Atlantic Ocean Within four days before arrival. Evaporation along these trajectories is largest three to four days before arrival. The air parcels are then located between 40 degrees and 60 degreesS in the Atlantic Ocean where surface temperatures range between 0 degrees and 20 degreesC. A case study for May 1998 shows that when snow falls exceptionally high temperatures and wind speeds prevail in the atmospheric boundary layer. The position of the trajectories in the boundary layer suggests a source region for this event between 40 degrees and 50 degreesS and 20 degrees and 60 degreesW in the Atlantic Ocean, where sea surface temperatures vary between 5 degrees and 15 degreesC.</t>
  </si>
  <si>
    <t>Univ Utrecht, Inst Marine &amp; Atmospher Res, NL-3508 TA Utrecht, Netherlands</t>
  </si>
  <si>
    <t>Reijmer, CH (corresponding author), Univ Utrecht, Inst Marine &amp; Atmospher Res, POB 80005, NL-3508 TA Utrecht, Netherlands.</t>
  </si>
  <si>
    <t>Van den Broeke, Michiel R./F-7867-2011; Reijmer, Carleen H/G-8736-2011</t>
  </si>
  <si>
    <t>Van den Broeke, Michiel R./0000-0003-4662-7565; Reijmer, Carleen H/0000-0001-8299-3883</t>
  </si>
  <si>
    <t>10.1017/S0954102001000293</t>
  </si>
  <si>
    <t>WOS:000171009900014</t>
  </si>
  <si>
    <t>Wynn-Williams, DD; Cabrol, NA; Grin, EA; Haberle, RM; Stoker, CR</t>
  </si>
  <si>
    <t>Wynn-Williams, David D.; Cabrol, Nathalie A.; Grin, Edmond A.; Haberle, Robert M.; Stoker, Carol R.</t>
  </si>
  <si>
    <t>Brines in Seepage Channels as Eluants for Subsurface Relict Biomolecules on Mars?</t>
  </si>
  <si>
    <t>ASTROBIOLOGY</t>
  </si>
  <si>
    <t>Biomolecules; Brines; Fluvial erosion; Mars; Microbes; Salinity; Water</t>
  </si>
  <si>
    <t>Water, vital for life, not only maintains the integrity of structural and metabolic biomolecules, it also transports them in solution or colloidal suspension. Any flow of water through a dormant or fossilized microbial community elutes molecules that are potentially recognizable as biomarkers. We hypothesize that the surface seepage channels emanating from crater walls and cliffs in Mars Orbiter Camera images result from fluvial erosion of the regolith as low-temperature hypersaline brines. We propose that, if such flows passed through extensive subsurface catchments containing buried and fossilized remains of microbial communities from the wet Hesperian period of early Mars (similar to 3.5 Ga ago), they would have eluted and concentrated relict biomolecules and delivered them to the surface. Life-supporting low-temperature hypersaline brines in Antarctic desert habitats provide a terrestrial analog for such a scenario. As in the Antarctic, salts would likely have accumulated in water-filled depressions on Mars by seasonal influx and evaporation. Liquid water in the Antarctic cold desert analogs occurs at -80 degrees C in the interstices of shallow hypersaline soils and at -50 degrees C in salt-saturated ponds. Similarly, hypersaline brines on Mars could have freezing points depressed below -50 degrees C. The presence of hypersaline brines on Mars would have extended the amount of time during which life might have evolved. Phototrophic communities are especially important for the search for life because the distinctive structures and longevity of their pigments make excellent biomarkers. The surface seepage channels are therefore not only of geomorphological significance, but also provide potential repositories for biomolecules that could be accessed by landers.</t>
  </si>
  <si>
    <t>[Wynn-Williams, David D.] British Antarctic Survey, Nat Environm Res Council, Cambridge CB3 OET, England; [Cabrol, Nathalie A.; Grin, Edmond A.] SETI Inst, Mountain View, CA 94043 USA; [Cabrol, Nathalie A.; Grin, Edmond A.; Haberle, Robert M.; Stoker, Carol R.] NASA, Ames Res Ctr, Div Space Sci, Moffett Field, CA 94035 USA</t>
  </si>
  <si>
    <t>UK Research &amp; Innovation (UKRI); Natural Environment Research Council (NERC); NERC British Antarctic Survey; National Aeronautics &amp; Space Administration (NASA); NASA Ames Research Center</t>
  </si>
  <si>
    <t>Wynn-Williams, DD (corresponding author), British Antarctic Survey, Antarctic Astrobiol, High Cross, Madingley Rd, Cambridge CB3 0ET, England.</t>
  </si>
  <si>
    <t>ddww@bas.ac.uk</t>
  </si>
  <si>
    <t>Stoker, Carol/ABE-1381-2021</t>
  </si>
  <si>
    <t>Stoker, Carol/0000-0001-7265-292X</t>
  </si>
  <si>
    <t>SETI/NASA Ames Research Center [NCC2-1064]; British Antarctic Survey</t>
  </si>
  <si>
    <t>SETI/NASA Ames Research Center; British Antarctic Survey</t>
  </si>
  <si>
    <t>The authors thanks Jeff Kargel and an anonymous reviewer for the valued criticisms and the time and care they have allocated to review our manuscript. This study is supported through SETI/NASA Ames Research Center cooperative agreements NCC2-1064 for Nathalie Cabrol and Edmond Grin. D.D. Wynn-Williams thanks the British Antarctic Survey for supporting this research, Susan Chambers for many years of extensive bibliographic work, and NZARP and USAP for field logistic support in the Ross Dependency. MOC imagery is used courtesy of M.C. Malin et al. (NASA's Planetary Photojournal, http://photojournal.jpl.nasa.gov).</t>
  </si>
  <si>
    <t>MARY ANN LIEBERT, INC</t>
  </si>
  <si>
    <t>NEW ROCHELLE</t>
  </si>
  <si>
    <t>140 HUGUENOT STREET, 3RD FL, NEW ROCHELLE, NY 10801 USA</t>
  </si>
  <si>
    <t>1531-1074</t>
  </si>
  <si>
    <t>1557-8070</t>
  </si>
  <si>
    <t>Astrobiology</t>
  </si>
  <si>
    <t>10.1089/153110701753198936</t>
  </si>
  <si>
    <t>Astronomy &amp; Astrophysics; Biology; Geosciences, Multidisciplinary</t>
  </si>
  <si>
    <t>Astronomy &amp; Astrophysics; Life Sciences &amp; Biomedicine - Other Topics; Geology</t>
  </si>
  <si>
    <t>V38SL</t>
  </si>
  <si>
    <t>WOS:000209363000005</t>
  </si>
  <si>
    <t>Jarman, SN</t>
  </si>
  <si>
    <t>The evolutionary history of krill inferred from nuclear large subunit rDNA sequence analysis</t>
  </si>
  <si>
    <t>BIOLOGICAL JOURNAL OF THE LINNEAN SOCIETY</t>
  </si>
  <si>
    <t>carboniferous; Cretaceous; Crustacea; Euphausiacea; molecular dating; Mysida; Palaeogene; Syncarida</t>
  </si>
  <si>
    <t>MAXIMUM-LIKELIHOOD; MITOCHONDRIAL-DNA; EXTINCTION; SUBSTITUTION; HYPOTHESIS; CRUSTACEAN; TRANSITION; STRATEGIES; BOOTSTRAP; PHYLOGENY</t>
  </si>
  <si>
    <t>Early events in the speciation history of krill (Malacostraca: Euphausiacea), an abundant group of extant pelagic crustaceans, were studied with slowly evolving nuclear DNA sequences (large subunit ribosomal DNA, 288 rDNA). Krill have no fossil record, so very little is known about their palaeobiology. The timing of past speciation events in krill was estimated by comparing change in their 288 rDNA to change in the 288 rDNA of their close relatives that do have a fossil record. Relationships between krill genera were also studied by phylogenetic analysis of partial 288 rDNA sequences. The analyses estimated the time that the last common ancestor of the krill family Euphausiidae lived to be the lower Cretaceous about 130 million years ago (Mya). Two lineages of krill survived the end Cretaceous extinctions 65 Mya and the modern genera of krill were established before the end of the Palaeogene 23 Mya. (C) 2001 The Linnean Society of London.</t>
  </si>
  <si>
    <t>Univ Tasmania, Inst Antarctic &amp; So Ocean Studies, Hobart, Tas 7001, Australia</t>
  </si>
  <si>
    <t>Jarman, SN (corresponding author), CSIRO, Marine Res, GPO Box 1538, Hobart, Tas 7001, Australia.</t>
  </si>
  <si>
    <t>Jarman, Simon/H-9265-2016</t>
  </si>
  <si>
    <t>Jarman, Simon/0000-0002-0792-9686</t>
  </si>
  <si>
    <t>0024-4066</t>
  </si>
  <si>
    <t>BIOL J LINN SOC</t>
  </si>
  <si>
    <t>Biol. J. Linnean Soc.</t>
  </si>
  <si>
    <t>10.1006/bjls.2001.0538</t>
  </si>
  <si>
    <t>Evolutionary Biology</t>
  </si>
  <si>
    <t>452AK</t>
  </si>
  <si>
    <t>WOS:000169834800003</t>
  </si>
  <si>
    <t>Tulaczyk, S; Kamb, B; Engelhardt, HF</t>
  </si>
  <si>
    <t>Estimates of effective stress beneath a modern West Antarctic ice stream from till preconsolidation and void ratio</t>
  </si>
  <si>
    <t>BOREAS</t>
  </si>
  <si>
    <t>GROUNDWATER-FLOW; BED DEFORMATION; SOUTHERN SASKATCHEWAN; BASAL MECHANICS; SOFT-BED; GLACIER; CONSTRAINTS; SEDIMENTS; PRESSURES; VELOCITY</t>
  </si>
  <si>
    <t>Preconsolidation stress recorded in subglacial sediments provides important information about subglacial effective stresses. It is commonly used to reconstruct past effective stresses from sediments left after ice retreat. In this article, we use properties of sub-ice-stream till samples to estimate effective stresses beneath a modern West Antarctic ice stream. Two previous estimates of sub-ice-stream effective stress were derived for the Upstream B (UpB) area of Ice Stream B from sheer wave velocities (50 +/- 40 kPa, Blankenship er al. 1987) and borehole water level measurements (63 +/- 24 kPa, Engelhardt &amp; Kamb 1997). However, geotechnical tests per formed on samples of the UpB till have shown that if subjected to effective stress of 50-63 kPa this till would have significantly lower porosity (similar to0.32-0.35) and higher strength (similar to 22-28 kPa) than it apparently has in situ (similar to0.4 and similar to2 kPa). We derive new estimates of sub-ice-stream effective stress using: (1) Casagrande's construction applied to the results of six confined uniaxial tests, and (2) a combination of void-ratio data for 51 till samples and 3 experimentally constrained equations describing compressibility of the UpB till under normal consolidation. overconsolidation and in the critical state. Casagrande's method yields an upper bound on effective stress of 25 kPa for four till samples and values of 13, and 4.4 kPa for two other samples. The void-ratio approach gives 11.7 +/- 2.6 (normal consolidation), 18.3 +/- 4.4 (overconsolidation) and 2.0 +/- 0.8 kPa (critical state). These new, lower estimates of effective stress are consistent with the low till strength that has been independently measured and inferred from recent theoretical ice-stream models. Our interpretation of data on till void ratio in terms of sub-ice-stream effective stress means that we can qualitatively evaluate the nature of the vertical distribution of this stress in the UpB till layer. We infer that in the sampled top 3 m of till the effective-stress distribution is non-hydrostatic, probably close to lithostatic. The results may be useful in future modeling of ice-stream behavior and may aid efforts to delineate paleo-ice streams based on their geologic record.</t>
  </si>
  <si>
    <t>CALTECH, Div Geol &amp; Planetary Sci, Pasadena, CA 91125 USA; Univ Kentucky, Dept Geol Sci, Lexington, KY 40506 USA</t>
  </si>
  <si>
    <t>California Institute of Technology; University of Kentucky</t>
  </si>
  <si>
    <t>Tulaczyk, S (corresponding author), Univ Calif Santa Cruz, Dept Earth Sci, Santa Cruz, CA 95064 USA.</t>
  </si>
  <si>
    <t>Tulaczyk, Slawek/O-7375-2018</t>
  </si>
  <si>
    <t>Tulaczyk, Slawek/0000-0002-9711-4332</t>
  </si>
  <si>
    <t>TAYLOR &amp; FRANCIS AS</t>
  </si>
  <si>
    <t>OSLO</t>
  </si>
  <si>
    <t>CORT ADELERSGT 17, PO BOX 2562, SOLLI, 0202 OSLO, NORWAY</t>
  </si>
  <si>
    <t>0300-9483</t>
  </si>
  <si>
    <t>Boreas</t>
  </si>
  <si>
    <t>10.1080/030094801750203134</t>
  </si>
  <si>
    <t>439QB</t>
  </si>
  <si>
    <t>WOS:000169127600002</t>
  </si>
  <si>
    <t>Bowen, WD; Ellis, SL; Iverson, SJ; Boness, DJ</t>
  </si>
  <si>
    <t>Maternal effects on offspring growth rate and weaning mass in harbour seals</t>
  </si>
  <si>
    <t>SOUTHERN ELEPHANT SEALS; ANTARCTIC FUR SEALS; LACTATION PERFORMANCE; PHOCA-VITULINA; GREY SEALS; PUP GROWTH; SEX-RATIO; BODY-MASS; ENERGY; INVESTMENT</t>
  </si>
  <si>
    <t>We studied maternal effects on offspring traits during lactation in harbour seals (Phoca vitulina) on Sable Island, Nova Scotia, from 1988 to 1996. Duration of lactation was correlated with rate of pup mass gain (r = -0.34, n = 116) and weaning mass (r = 0.29, n = 154). Pups that grew faster had shorter nursing periods, whereas those that attained higher weaning masses nursed for a greater number of days. Pup sex did not affect patterns of maternal effects. The pups of young females (4-6 years old) gained mass at a constant but lower rate (0.56 kg/d) than the pups of older females through midlactation (0.74-0.78 kg/d; n = 75). In older females, rates of pup mass gain decelerated between mid and late lactation. Although maternal age did not directly affect weaning mass of pups, path analysis showed that maternal age acted on weaning mass through intermediary traits. Lighter females gave birth to smaller and slower growing pups, but invested relatively more than heavier females (n = 153). Effects of maternal postpartum mass on weaning mass (n = 100) were weaker in harbour seals than in phocids that fast during lactation, but apparently stronger than in otariids that forage during lactation, suggesting that the strength of maternal effects is influenced by lactation strategy.</t>
  </si>
  <si>
    <t>Fisheries &amp; Oceans Canada, Bedford Inst Oceanog, Marine Fish Div, Dartmouth, NS B2Y 4A2, Canada; Dalhousie Univ, Dept Biol, Halifax, NS B3H 4J1, Canada; Smithsonian Inst, Natl Zool Pk, Dept Zool Res, Washington, DC 20008 USA</t>
  </si>
  <si>
    <t>Fisheries &amp; Oceans Canada; Bedford Institute of Oceanography; Dalhousie University; Smithsonian Institution; Smithsonian National Zoological Park &amp; Conservation Biology Institute</t>
  </si>
  <si>
    <t>Fisheries &amp; Oceans Canada, Bedford Inst Oceanog, Marine Fish Div, POB 1006, Dartmouth, NS B2Y 4A2, Canada.</t>
  </si>
  <si>
    <t>bowend@mar.dfo-mpo.gc.ca</t>
  </si>
  <si>
    <t>Bowen, William D/D-2758-2012; Bowen, William/AAE-7204-2022</t>
  </si>
  <si>
    <t>Bowen, William/0000-0001-8334-5677; Iverson, Sara/0000-0003-2842-4094</t>
  </si>
  <si>
    <t>CANADIAN SCIENCE PUBLISHING</t>
  </si>
  <si>
    <t>10.1139/cjz-79-6-1088</t>
  </si>
  <si>
    <t>451AF</t>
  </si>
  <si>
    <t>WOS:000169776500020</t>
  </si>
  <si>
    <t>Baird, RW; Ligon, AD; Hooker, SK; Gorgone, AM</t>
  </si>
  <si>
    <t>Subsurface and nighttime behaviour of pantropical spotted dolphins in Hawai'i</t>
  </si>
  <si>
    <t>CANADIAN JOURNAL OF ZOOLOGY-REVUE CANADIENNE DE ZOOLOGIE</t>
  </si>
  <si>
    <t>STENELLA-ATTENUATA; DIVING BEHAVIOR; AGGREGATIONS; CETACEANS; CAPACITY; PACIFIC; MUSCLE</t>
  </si>
  <si>
    <t>Pantropical spotted dolphins (Stenella attenuata) are found in both pelagic waters and around oceanic islands. A variety of differences exist between populations in these types of areas, including average group sizes, extent of movements, and frequency of multi-species associations. Diving and nighttime behaviour of pantropical spotted dolphins were studied near the islands of Maui and Lana'i, Hawai'i, in 1999. Suction-cup-attached time-depth recorder/VHF-radio tags were deployed on six dolphins for a total of 29 h. Rates of movements of tagged dolphins were substantially lower than reported in pelagic waters. Average diving depths and durations were shallower and shorter than reported for other similar-sized odontocetes but were similar to those reported in a study of pantropical spotted dolphins in the pelagic waters of the eastern tropical Pacific. Dives (defined as &gt;5 m deep) at night were deeper (mean = 57.0 m, SD = 23.5 m, n = 2 individuals, maximum depth 213 m) than during the day (mean = 12.8 m, SD = 2.1 m, n = 4 individuals, maximum depth 122 m), and swim velocity also increased after dark. These results, together with the series of deep dives recorded immediately after sunset, suggest that pantropical spotted dolphins around Hawai'i feed primarily at night on organisms associated with the deep-scattering layer as it rises up to the surface after dark.</t>
  </si>
  <si>
    <t>Dalhousie Univ, Dept Biol, Halifax, NS B3H 4J1, Canada; Hawaii Wildlife Fund, Kihei, HI 96753 USA; British Antarctic Survey, Cambridge CB3 OET, England</t>
  </si>
  <si>
    <t>Dalhousie University; UK Research &amp; Innovation (UKRI); Natural Environment Research Council (NERC); NERC British Antarctic Survey</t>
  </si>
  <si>
    <t>Baird, RW (corresponding author), NOAA, Beaufort Lab, 101 Pivers Isl Rd, Beaufort, NC 28516 USA.</t>
  </si>
  <si>
    <t>Baird, Robin William/Y-8230-2019; Hooker, Sascha K/J-3267-2013</t>
  </si>
  <si>
    <t>Baird, Robin William/0000-0002-9419-6336; Hooker, Sascha/0000-0002-7518-3548; Gorgone, Antoinette/0000-0002-9318-7390</t>
  </si>
  <si>
    <t>NATL RESEARCH COUNCIL CANADA</t>
  </si>
  <si>
    <t>RESEARCH JOURNALS, MONTREAL RD, OTTAWA, ONTARIO K1A 0R6, CANADA</t>
  </si>
  <si>
    <t>Can. J. Zool.-Rev. Can. Zool.</t>
  </si>
  <si>
    <t>10.1139/cjz-79-6-988</t>
  </si>
  <si>
    <t>WOS:000169776500008</t>
  </si>
  <si>
    <t>Andronikov, AV; Foley, SF</t>
  </si>
  <si>
    <t>Trace element and Nd-Sr isotopic composition of ultramafic lamprophyres from the East Antarctic Beaver Lake area</t>
  </si>
  <si>
    <t>CHEMICAL GEOLOGY</t>
  </si>
  <si>
    <t>lamprophyre; ultramafic lamprophyre; magma genesis; melting; fractional crystallisation; isotopes; East Antarctica</t>
  </si>
  <si>
    <t>PARTITION-COEFFICIENTS; ORIGIN; PB; KIMBERLITES; ROCKS; MELT; SYSTEMATICS; LAMPROITES; BASALTS; MAGMAS</t>
  </si>
  <si>
    <t>The trace element and Nd-Sr isotopic compositions of Cretaceous (110-117 Ma) ultramafic lamprophyres from the Beaver Lake area in East Antarctica, which are developed as sill, dyke and plug intrusions. have been investigated. Rare earth elements of lamprophyres are strongly fractionated, with LREE &gt; 100 times chondrite, whereas HREE are &lt; 10 times chondrite, presumably indicating the presence of residual garnet in the source region. A characteristic feature of the Beaver Lake rocks is low concentrations of Zr and Hf (Zr, 50-150 ppm: Hf, 1.0-5.0 ppm) and to a lesser extent Nb (17-90 ppm) which cause strong negative anomalies in the normalized trace element patterns. Eruption age-corrected Nd isotope values vary within narrow ranges (epsilon Nd-(t) = + 2.1 to + 4.3), whereas Sr isotope values show more variation (Sr-87/Sr-86((t)) = 0.704336-0.706431), similar to the isotopic compositions of other ultramafic lamprophyres. The genesis of the ultramafic lamprophyres is explained as a result of the gradual widening of the Lambert-Amery rift during the Phanerozoic. An increase in the geothermal gradient from cold continental conditions beneath the Archean block to the west may have resulted in grazing of the peridotite solidus at depths greater than 110 km. The initial carbonate-rich melts migrated upwards and froze as carbonate-bearing veins in the overlying lithosphere. Later upward and outward migration of the asthenosphere beneath the rift caused remelting of the veined region, resulting in melts of ultramafic lamprophyre composition with a mixed geochemical abundance and isotope signature from carbonate-rich veins and depleted peridotite wall-rock. The CO2-rich component of the lamprophyres is derived principally from the vein assemblage, from which phlogopite gives rise to the variable Sr isotopes, and baddeleyite to the differing Zr and Hf abundances. The difference between the lamprophyre facies of the Beaver Lake intrusions can be explained by minor amounts of olivine and Cr-spinel fractionation. (C) 2001 Elsevier Science B.V, All rights reserved.</t>
  </si>
  <si>
    <t>Univ Michigan, Dept Geol Sci, Ann Arbor, MI 48109 USA; Univ Gottingen, Mineral Petrol Inst, D-37077 Gottingen, Germany</t>
  </si>
  <si>
    <t>University of Michigan System; University of Michigan; University of Gottingen</t>
  </si>
  <si>
    <t>Andronikov, AV (corresponding author), Univ Michigan, Dept Geol Sci, 415 E Univ Ave, Ann Arbor, MI 48109 USA.</t>
  </si>
  <si>
    <t>Foley, Stephen/I-1759-2013; Foley, Stephen F/C-1923-2009</t>
  </si>
  <si>
    <t>Foley, Stephen/0000-0001-7510-0223</t>
  </si>
  <si>
    <t>0009-2541</t>
  </si>
  <si>
    <t>CHEM GEOL</t>
  </si>
  <si>
    <t>Chem. Geol.</t>
  </si>
  <si>
    <t>JUN 1</t>
  </si>
  <si>
    <t>10.1016/S0009-2541(00)00296-5</t>
  </si>
  <si>
    <t>432GL</t>
  </si>
  <si>
    <t>WOS:000168683800008</t>
  </si>
  <si>
    <t>Albessard, E; Mayzaud, P; Cuzin-Roudy, J</t>
  </si>
  <si>
    <t>Variation of lipid classes among organs of the Northern krill Meganyctiphanes norvegica, with respect to reproduction</t>
  </si>
  <si>
    <t>krill; lipids; organs; ovary; phospholipids; reproduction; triacylglycerols; phosphatidylcholine; Meganyctiphanes nonvegica</t>
  </si>
  <si>
    <t>EUPHAUSIA-SUPERBA; ANTARCTIC KRILL; FATTY-ACID; ECOLOGICAL INVESTIGATIONS; BIOCHEMICAL-COMPOSITION; ZOOPLANKTON COMMUNITY; THYSANOESSA-INERMIS; SEASONAL-VARIATIONS; SERUM-LIPOPROTEINS; SOUTH GEORGIA</t>
  </si>
  <si>
    <t>Lipid content and class in the Northern krill Meganyctiphanes norvegica (digestive gland, stomach, gonad, fat body, abdomen) was investigated and correlated with sex and reproductive stage. Ready to spawn females, have high lipid content in ovaries, while in males and spent females, the major site of lipid deposits was the digestive gland, followed by the fat body. These differences among spawning and spent females are indicative of strong interactions between the ovary and digestive gland and the ovary and fat body during vitellogenesis. Triacylglycerols (TAG) were the major neutral lipid class with high levels in the digestive gland. The major phospholipid was phosphatidylcholine (PC) particularly in the muscular tissue of the abdomen. Phosphatidyl-ethanolamine (PE) and -serine-inositol (PS-PI), were present at intermediate levels. Reproductive males were depleted in TAG and diacylglycerols (DAG) in the digestive gland, gonad and fat body, and had 4 times lower cholesterol in the gonad than ready to spawn females. Furthermore, ready to spawn females had in the ovary higher amounts of TAG, DAG and phospholipids (PC, PE, PS-PI) than spent females. Linear relationships between lipid content and main lipid class (TAG, PC, PE, PS-PT) in different fractions of males and ready to spawn females showed that: (1). TAG was stored for both sexes in all cephalothorax fractions with highest values in the digestive gland and ovary fluid; (2). PC was accumulated for both sexes in the fat body and the gonad with a higher slope for females, with the highest values in the ovary fluid and in the abdomen of males and that (3). PS-PI was stored only in the ovary and abdomen of mature females. These results are discussed in terms of the strategy developed by Meganyctiphanes norvegica to allocate lipids to the next generation for optimised embryogenesis. (C) 2001 Elsevier Science Inc. All rights reserved.</t>
  </si>
  <si>
    <t>Observ Oceanol, F-06230 Villefranche Sur Mer, France</t>
  </si>
  <si>
    <t>Sorbonne Universite</t>
  </si>
  <si>
    <t>Albessard, E (corresponding author), Observ Oceanol, BP 28, F-06230 Villefranche Sur Mer, France.</t>
  </si>
  <si>
    <t>10.1016/S1095-6433(00)00355-X</t>
  </si>
  <si>
    <t>445TC</t>
  </si>
  <si>
    <t>WOS:000169473800008</t>
  </si>
  <si>
    <t>Chown, SL; Rodrigues, ASL; Gremmen, NJM; Gaston, K</t>
  </si>
  <si>
    <t>World heritage status and conservation of southern ocean islands</t>
  </si>
  <si>
    <t>CONSERVATION BIOLOGY</t>
  </si>
  <si>
    <t>ANTARCTIC TERRESTRIAL ECOSYSTEM; RESERVE SELECTION; MARION-ISLAND; IMPACT; EFFICIENCY; SEABIRDS; INVADERS; GEORGIA</t>
  </si>
  <si>
    <t>Univ Pretoria, Dept Zool &amp; Entomol, ZA-0002 Pretoria, South Africa; Univ Sheffield, Dept Anim &amp; Plant Sci, Biodivers &amp; Macroecol Grp, Sheffield S10 2TN, S Yorkshire, England; Univ Groningen, Arctic Ctr, NL-9700 AB Groningen, Netherlands</t>
  </si>
  <si>
    <t>University of Pretoria; University of Sheffield; University of Groningen</t>
  </si>
  <si>
    <t>Rodrigues, Ana/GYQ-6273-2022; Rodrigues, Ana S.L./A-5914-2009; Chown, Steven/ABD-7646-2021; Chown, Steven L/H-3347-2011</t>
  </si>
  <si>
    <t>Rodrigues, Ana S.L./0000-0003-4775-0127;</t>
  </si>
  <si>
    <t>0888-8892</t>
  </si>
  <si>
    <t>CONSERV BIOL</t>
  </si>
  <si>
    <t>Conserv. Biol.</t>
  </si>
  <si>
    <t>10.1046/j.1523-1739.2001.015003550.x</t>
  </si>
  <si>
    <t>Biodiversity Conservation; Ecology; Environmental Sciences</t>
  </si>
  <si>
    <t>441HY</t>
  </si>
  <si>
    <t>WOS:000169226000002</t>
  </si>
  <si>
    <t>Falcon-Lang, HJ; Cantrill, DJ</t>
  </si>
  <si>
    <t>Gymnosperm woods from the Cretaceous (mid-Aptian) Cerro Negro Formation, Byers Peninsula, Livingston Island, Antarctica: the arborescent vegetation of a volcanic arc</t>
  </si>
  <si>
    <t>CRETACEOUS RESEARCH</t>
  </si>
  <si>
    <t>Cretaceous; Aptian; Antarctica; coniferales; Bennettitales; gymnosperm wood</t>
  </si>
  <si>
    <t>SOUTH SHETLAND ISLANDS; CENTRAL NORTH-ISLAND; ALEXANDER-ISLAND; PRESIDENT-HEAD; POLAR FORESTS; SNOW-ISLAND; NEW-ZEALAND; SEDIMENTATION; SAHNIOXYLON; PALYNOLOGY</t>
  </si>
  <si>
    <t>Silicified gymnosperm trunks usually more than 30 cm in diameter and several metres in length occur abundantly in the lower part of the mid-Aptian Cerro Negro Formation, which crops out on Byers Peninsula, Livingston Island, northern Antarctic Peninsula. These fossil woods are found within silicic ignimbrites, tuffs and lapilli-tuffs interpreted as the product of hot pyroclastic flows, and in silicic and andesitic conglomerates interpreted as fluvially-reworked volcanic sediments. A detailed quantitative study of the wood taxonomy has revealed the presence of three form genera, Araucarioxylon, Podocarpoxylon, and Sahnioxylon. The former two genera represent the conifer families Araucariaceae and Podocarpaceae respectively and the latter probably belongs to the extinct gymnosperm order Bennettitales. These wood genera represent the remains of the arborescent vegetation, which grew on the margins of an active pyroclastic volcanic cone near the edge of the mid-Cretaceous Antarctic Circle (palaeolatitude 62 degreesS). (C) 2001 Academic Press.</t>
  </si>
  <si>
    <t>0195-6671</t>
  </si>
  <si>
    <t>1095-998X</t>
  </si>
  <si>
    <t>CRETACEOUS RES</t>
  </si>
  <si>
    <t>Cretac. Res.</t>
  </si>
  <si>
    <t>10.1006/cres.2001.0259</t>
  </si>
  <si>
    <t>Geology; Paleontology</t>
  </si>
  <si>
    <t>462CX</t>
  </si>
  <si>
    <t>WOS:000170404100002</t>
  </si>
  <si>
    <t>Midya, SK; Sarkar, H; Manna, A</t>
  </si>
  <si>
    <t>Antarctic O3 depletion -: its effect on the variation of Li 6708 Å emission line intensity at McMurdo and Halley Bay</t>
  </si>
  <si>
    <t>CZECHOSLOVAK JOURNAL OF PHYSICS</t>
  </si>
  <si>
    <t>ozone depletion; airglow emissions</t>
  </si>
  <si>
    <t>LITHIUM</t>
  </si>
  <si>
    <t>The paper presents the effect of dramatic decrease of Antarctic O-3 concentration on Li 6708 Angstrom line emission. Chemical kinetics of this line confirms that lithium emission will also be affected by O-3 depletion. Intensity of the line is calculated theoretically for two Antarctic Survey Stations Bailey Bay (76 degrees S, 27 degreesW) and McMurdo (78 degrees S, 166 degrees E). Calculation shows that lithium line intensity of two Antarctic Survey Stations will also be depleted dramatically.</t>
  </si>
  <si>
    <t>Serampore Coll, Dept Phys, Pin 712201, W Bengal, India; Jadavpur Univ, Dept Phys, Kolkata 700032, W Bengal, India</t>
  </si>
  <si>
    <t>Jadavpur University</t>
  </si>
  <si>
    <t>Midya, SK (corresponding author), Serampore Coll, Dept Phys, Pin 712201, W Bengal, India.</t>
  </si>
  <si>
    <t>INST PHYSICS ACAD SCI CZECH REPUBLIC</t>
  </si>
  <si>
    <t>PRAGUE</t>
  </si>
  <si>
    <t>NA SLOVANCE 2, PRAGUE 182 21, CZECH REPUBLIC</t>
  </si>
  <si>
    <t>0011-4626</t>
  </si>
  <si>
    <t>CZECH J PHYS</t>
  </si>
  <si>
    <t>Czech. J. Phys.</t>
  </si>
  <si>
    <t>10.1023/A:1017560604799</t>
  </si>
  <si>
    <t>Physics, Multidisciplinary</t>
  </si>
  <si>
    <t>453PJ</t>
  </si>
  <si>
    <t>WOS:000169924800010</t>
  </si>
  <si>
    <t>Mackensen, A</t>
  </si>
  <si>
    <t>Oxygen and carbon stable isotope tracers of Weddell Sea water masses: new data and some paleoceanographic implications</t>
  </si>
  <si>
    <t>Antarctica; Weddell Sea; biogeochemical cycle; carbon 13; oxygen isotope ratio; paleoceanography</t>
  </si>
  <si>
    <t>BOTTOM WATER; SOUTHERN-OCEAN; DEEP-WATER; ICE SHELF; CIRCULATION; C-13; ATLANTIC; RECORD; CO2; PALEOSALINITY</t>
  </si>
  <si>
    <t>Stable oxygen isotopic composition of sea water and stable carbon isotopes of dissolved inorganic carbon (DIC) on the continental shelf in the southern Weddell Sea are presented. Using the stations sampled during the summer 1995 two sections can be constructed, one closely parallel to the ice shelf edge and the other perpendicular to the upper continental slope. Generally, delta O-18 values clearly separate between different shelf water masses depending on the content of meteoric meltwater added during melting of glacial ice. Extrapolation of the mixing line between the cores of High Salinity Shelf Water (HSSW) and supercooled Ice shelf Water (ISW) reveals delta O-18 values of the glacial ice of -27 parts per thousand, whereas extrapolation of the mixing line between the delta O-18 Values of the most-saline HSSW and lowest temperature ISW results in delta O-18 values of -34 parts per thousand for glacial ice. These values point to an origin of meltwater from below the ice shelf, where ice is less depleted in O-18, since deep beneath the ice shelf close to the grounding line, values may reach -40 parts per thousand. If values between -34 and -27 parts per thousand are used as delta O-18 end member values for glacial ice, the amount of meltwater from the ice shelf that adds to the formation of ISW off the Filchner-Ronne Ice Shelf ranges from 0.2 to 0.8%, in agreement with previous studies based on delta O-18 and He-4. Carbon isotopic fractionation due to gas exchange between the atmosphere and the ocean at cold temperatures results in Delta delta C-13(DIC) values of 0.20 +/- 0.17 parts per thousand for Weddell Sea Deep Water, the water mass that ventilates the global abyssal ocean, typically defined as Antarctic Bottom Water (AABW). This confirms the low end of the range estimated previously (0.2-0.4 parts per thousand), and thus corroborates the dominance of biology in shaping the deep and bottom water delta C-13 signal. It has been hypothesized that different modes of glacial/interglacial Antarctic bottom water formation may be separated by different stable isotopic compositions of deep-sea foraminiferal calcite. Here I show that differences between Delta delta C-13 and delta O-18 values of HSSW and ISW, both of which contribute to bottom water formation today, are too small to be resolved in deep and bottom water masses. Therefore, glacial/interglacial changes in relative proportions of these water masses in Antarctic deep and bottom water cannot be separated by stable isotopes of fossil benthic foraminiferal calcite. (C) 2001 Elsevier Science Ltd. All rights reserved.</t>
  </si>
  <si>
    <t>Mackensen, A (corresponding author), Alfred Wegener Inst Polar &amp; Marine Res, Columbusstr,POB 12161, D-27515 Bremerhaven, Germany.</t>
  </si>
  <si>
    <t>Mackensen, Andreas/J-8600-2013</t>
  </si>
  <si>
    <t>Mackensen, Andreas/0000-0002-5024-4455</t>
  </si>
  <si>
    <t>10.1016/S0967-0637(00)00093-5</t>
  </si>
  <si>
    <t>411NC</t>
  </si>
  <si>
    <t>WOS:000167505300003</t>
  </si>
  <si>
    <t>Voinov, GN</t>
  </si>
  <si>
    <t>The interpretation of seasonal variability in harmonic constants of main tidal constituents in Arctic seas</t>
  </si>
  <si>
    <t>Arctic &amp; Antarctic Res Inst, St Petersburg 199226, Russia</t>
  </si>
  <si>
    <t>Voinov, GN (corresponding author), Arctic &amp; Antarctic Res Inst, Ul Beringa 38, St Petersburg 199226, Russia.</t>
  </si>
  <si>
    <t>Voinov, Gennadiy/E-6141-2016</t>
  </si>
  <si>
    <t>Voinov, Gennadiy/0000-0003-1657-049X</t>
  </si>
  <si>
    <t>JUN-JUL</t>
  </si>
  <si>
    <t>458UH</t>
  </si>
  <si>
    <t>WOS:000170212600025</t>
  </si>
  <si>
    <t>Romanov, YA; Korotkov, AI</t>
  </si>
  <si>
    <t>Seasonal variations in iceberg abundance in eastern Antarctica (50°-70° N, 0°-120° E)</t>
  </si>
  <si>
    <t>Russian Acad Sci, PP Shirshov Oceanol Inst, Moscow 117851, Russia; Arctic &amp; Antarctic Res Inst, St Petersburg 199397, Russia</t>
  </si>
  <si>
    <t>Russian Academy of Sciences; Shirshov Institute of Oceanology; Arctic &amp; Antarctic Research Institute</t>
  </si>
  <si>
    <t>Romanov, YA (corresponding author), Russian Acad Sci, PP Shirshov Oceanol Inst, Nakhimovskii Pr 36, Moscow 117851, Russia.</t>
  </si>
  <si>
    <t>Romanov, Yury/S-6708-2016</t>
  </si>
  <si>
    <t>WOS:000170212600029</t>
  </si>
  <si>
    <t>Evans, ME; Heller, F</t>
  </si>
  <si>
    <t>Magnetism of loess/palaeosol sequences: recent developments</t>
  </si>
  <si>
    <t>International Conference of Loessfest 99</t>
  </si>
  <si>
    <t>MAR 25-APR 01, 1999</t>
  </si>
  <si>
    <t>UNIV BONN, BONN, GERMANY</t>
  </si>
  <si>
    <t>UNIV BONN</t>
  </si>
  <si>
    <t>loess; magnetism; palaeoclimate; palaeoenvironment; palaeosol; reversals</t>
  </si>
  <si>
    <t>CHINESE LOESS PLATEAU; PRELIMINARY MAGNETOSTRATIGRAPHY; PALEOCLIMATIC IMPLICATIONS; SUSCEPTIBILITY VARIATIONS; ASTRONOMICAL CALIBRATION; REMANENCE ACQUISITION; GEOMAGNETIC REVERSAL; PLEISTOCENE LOESS; CLIMATE RECORDS; LATE QUATERNARY</t>
  </si>
  <si>
    <t>Investigation of the global loess record-primarily as a palaeoclimatic archive-continues unabated. One important aspect of this research effort is the determination of the magnetic properties of the loess itself and of the palaeosols developed within it. In earlier work, these have provided a record of major long-term past climatic changes; however, recent studies are now revealing sub-Milankovitch signals with teleconnections from the Chinese Loess Plateau (CLP) to the Greenland and Antarctic ice caps as well as to climate-related events in sediments recovered from the North Atlantic. These high-resolution profiles cover to the last similar to 130,000 years; however, progress is also being made in extending the record down below the loess (sensu stricto) of the CLP into the so-called Red Clay, so that the aeolian record can now be carried back beyond 7 Ma BP. Several authors have attempted to obtain quantitative estimates of palaeoprecipitation by comparing magnetic susceptibility of palaeosols with values for modem soils. Although the broad picture is qualitatively clear (wetter interglacials, dryer glacials), the actual quantitative values provided by the various techniques differ significantly. In the classic Chinese sites, palaeosols are always magnetically enhanced, due to in situ pedogenic processes. However, evidence is now emerging to indicate that this is not the only magnetoclimatological model. In cases (such as Siberia) where wind vigour dominates over pedogenesis, the opposite pattern is found, with magnetic susceptibility minima in palaeosols. This also occurs in situations where the sediments are water-logged for significant amounts of time leading to gleying and concomitant loss of magnetic minerals. The use of magnetic remanence as a geomagnetic polarity clock requires caution. Early interpretations were acceptable for establishing broad chronological control; however, recent scrutiny suggests that remanence lock-in may be delayed by as much as 20,000 years, Furthermore, synthetic magnetostratigraphies modelled on the basis of realistic sediment characteristics indicate that there are limits to the amount of geomagnetic detail likely to be resolved. This seems to be the case for the Blake Event, which manifests itself in a very variable way at different sites in the CLP. (C) 2001 Elsevier Science B.V. All rights reserved.</t>
  </si>
  <si>
    <t>ETH Honggerberg, Inst Geophys, CH-8093 Zurich, Switzerland; Univ Alberta, Inst Geophys Res, Edmonton, AB T6G 2J1, Canada</t>
  </si>
  <si>
    <t>Swiss Federal Institutes of Technology Domain; ETH Zurich; University of Alberta</t>
  </si>
  <si>
    <t>Heller, F (corresponding author), ETH Honggerberg, Inst Geophys, CH-8093 Zurich, Switzerland.</t>
  </si>
  <si>
    <t>SI</t>
  </si>
  <si>
    <t>10.1016/S0012-8252(01)00044-7</t>
  </si>
  <si>
    <t>467TT</t>
  </si>
  <si>
    <t>WOS:000170720400008</t>
  </si>
  <si>
    <t>Waluda, CM; Rodhouse, PG; Trathan, PN; Pierce, GJ</t>
  </si>
  <si>
    <t>Remotely sensed mesoscale oceanography and the distribution of Illex argentinus in the South Atlantic</t>
  </si>
  <si>
    <t>FISHERIES OCEANOGRAPHY</t>
  </si>
  <si>
    <t>geographic information system; Illex argentinus; mesoscale oceanography; remote sensing; South Atlantic; squid fishery</t>
  </si>
  <si>
    <t>SEA-SURFACE TEMPERATURES; TUNA CATCH; FISHERY; VARIABILITY; MANAGEMENT; LOCATION; ALBACORE; OCEAN</t>
  </si>
  <si>
    <t>In this study, we consider the influence of mesoscale oceanographic processes around the Falkland Islands (Islas Malvinas) in the South-west Atlantic, during the period in which the commercial squid fishery for Illex argentinus operates. Spatially referenced fishery data and satellite-derived advanced very high resolution radiometry (AVHRR) sea surface temperature (SST) data were examined using geographic information system (GIS) techniques. The distribution and relative abundance of I. argentinus in the Falkland Islands fishery was examined for the period 1989-96. Three consistent areas of high abundance were observed to the north-east (shelf-break region) and north-west (shelf region) of the islands, and close to the northern coast of East Falkland. Areas of high sea surface temperature gradients (thermal gradients) extracted from remotely sensed satellite images were used as an indicator of mesoscale oceanographic activity and compared with the location of the fishery. I. argentinus were found to be associated with areas of thermal gradients, commonly seen at the interface of Falkland Current and Patagonian shelf waters. The techniques used in this analysis allow the overlay and analysis of physical oceanographic and fishery data with potential applications in fisheries management and operational fisheries oceanography.</t>
  </si>
  <si>
    <t>Univ Aberdeen, Dept Zool, Aberdeen AB24 2TZ, Scotland; British Antarctic Survey, NERC, Cambridge CB3 0ET, England</t>
  </si>
  <si>
    <t>University of Aberdeen; UK Research &amp; Innovation (UKRI); Natural Environment Research Council (NERC); NERC British Antarctic Survey</t>
  </si>
  <si>
    <t>; Pierce, Graham/A-5404-2018</t>
  </si>
  <si>
    <t>Rodhouse, Paul/0000-0001-5399-967X; Pierce, Graham/0000-0002-4744-4501</t>
  </si>
  <si>
    <t>1054-6006</t>
  </si>
  <si>
    <t>1365-2419</t>
  </si>
  <si>
    <t>FISH OCEANOGR</t>
  </si>
  <si>
    <t>Fish Oceanogr.</t>
  </si>
  <si>
    <t>10.1046/j.1365-2419.2001.00165.x</t>
  </si>
  <si>
    <t>Fisheries; Oceanography</t>
  </si>
  <si>
    <t>464YE</t>
  </si>
  <si>
    <t>WOS:000170560300005</t>
  </si>
  <si>
    <t>Piatkowski, U; Pütz, K; Heinemann, H</t>
  </si>
  <si>
    <t>Cephalopod prey of king penguins (Aptenodytes patagonicus) breeding at Volunteer Beach, Falkland Islands, during austral winter 1996</t>
  </si>
  <si>
    <t>Conference on Impact of Cephalopods in the food Chain and Their Interaction with the Environment held at the 1998 Annual Science Conference</t>
  </si>
  <si>
    <t>CASCAIS, PORTUGAL</t>
  </si>
  <si>
    <t>king penguin; cephalopod prey; squid; Falkland Islands</t>
  </si>
  <si>
    <t>MOROTEUTHIS-INGENS CEPHALOPODA; POLAR FRONTAL ZONE; CROZET-ISLANDS; SOUTH GEORGIA; HEARD ISLAND; DIET; SEABIRDS; ATLANTIC; GROWTH; SUMMER</t>
  </si>
  <si>
    <t>The beaks of 10 cephalopod species were found in the diet of foraging and moulting king penguins (Aptenodytes patagonicus) from a breeding colony at Volunteer Beach, Falkland Islands during austral winter (September/October 1996). A total of 486 lower cephalopod beaks were collected, identified and measured (LRL: lower rostral length). Six cephalopod families occurred in the penguins' diet with Onychoteuthidae being the most abundant (256 lower beaks) and represented by Moroteuthis ingens (168; LRL range 2.1-6.8 mm), Moroteuthis knipovitchi (79; LRL range 1.9-5.5 mm), and Kondakovia longimana (9; LRL range 2.1-7.4 mm). Other families were Ommastrephidae (135) with Martialia hyadesi (127; LRL range 2.6-8.7 mm, (Ilex argentinus (6; LRL range 5.0-6.0 mm), and Ommastrephes bartrami (2; LRL range 7.9-8.8 mm): Loliginidae with Loligo gahi (60; LRL range 0.8-2.1 mm); Gonatidae with Gonatus antarcticus (28; LRL range 1.3-3.3 mm); Neoteuthidae with Alluroteuthis antarcticus (4; LRL range 2.1-3.9 mm), and Histioteuthidae with Histioteuthis eltaninae (3; LRL range 3.3-3.4 mm). Allometric equations were used to relate lower rostral beak length with cephalopod body size and mass, M. ingens was the dominating cephalopod prey in terms of numbers (n = 168), whereas M. hyadesi was most important in terms of biomass (63 682 g). The present study provides first information on the cephalopod prey of Falkland islands king penguins. The data suggest that penguins take squid at coastal islands slope regions as well as in oceanic waters which demonstrates their ability to forage in a wide geographical area and to alternate between specific foraging sites. Possible competition with the commercial squid fishery off the Falkland Islands is discussed. (C) 2001 Elsevier Science B.V. All rights reserved.</t>
  </si>
  <si>
    <t>Univ Kiel, Inst Meereskunde, D-24105 Kiel, Germany; Antarctic Res Trust, Stanley, Falkland Isl, England</t>
  </si>
  <si>
    <t>University of Kiel</t>
  </si>
  <si>
    <t>Piatkowski, U (corresponding author), Univ Kiel, Inst Meereskunde, Dusternbrooker Weg 20, D-24105 Kiel, Germany.</t>
  </si>
  <si>
    <t>Piatkowski, Uwe/G-4161-2011</t>
  </si>
  <si>
    <t>Piatkowski, Uwe/0000-0003-1558-5817; Puetz, Klemens/0000-0003-1375-2669</t>
  </si>
  <si>
    <t>10.1016/S0165-7836(01)00232-6</t>
  </si>
  <si>
    <t>431DF</t>
  </si>
  <si>
    <t>WOS:000168616000008</t>
  </si>
  <si>
    <t>Santos, MB; Clarke, MR; Pierce, GJ</t>
  </si>
  <si>
    <t>Assessing the importance of cephalopods in the diets of marine mammals and other top predators: problems and solutions</t>
  </si>
  <si>
    <t>cephalopods; top predators; marine mammals; diet; food consumption; fisheries</t>
  </si>
  <si>
    <t>WHALES PHYSETER-MACROCEPHALUS; SEALS PHOCA-VITULINA; HARBOR PORPOISES; STOMACH CONTENTS; MORAY-FIRTH; FUR SEALS; SEASONAL-VARIATION; PHOCOENA-PHOCOENA; DELPHINUS-DELPHIS; COMMON DOLPHINS</t>
  </si>
  <si>
    <t>The methodology typically used in the analysis of predator diets is subject to a range of errors and biases and these are reviewed in relation to estimating the consumption of cephalopods by top predators. Further uncertainties, relating to population size estimation, predator energy requirements and sojourn time in the study area are encountered when estimating population consumption. We review the use of such data to predict consumption of cephalopods by certain top predators globally, in the Antarctic, the Azores and in the North Atlantic. The traditional approach is based on the derivation of minimum and maximum estimates. We illustrate an alternative approach for calculating confidence limits for estimates, based on bootstrap simulations, for sperm whales in the northern Northeast Atlantic. While the resulting confidence limits may appear discouragingly wide, computations such as those used here are useful for showing where data are most imperfect and for setting future research priorities. Even at present, within distinctly prescribed geographic areas, where populations are well known, such modelling of species interactions may be productive. (C) 2001 Elsevier Science B.V. All rights reserved.</t>
  </si>
  <si>
    <t>Univ Aberdeen, Dept Zool, Aberdeen AB24 2TZ, Scotland; Ancarva, Torpoint PL10 1EZ, Cornwall, England</t>
  </si>
  <si>
    <t>University of Aberdeen</t>
  </si>
  <si>
    <t>Pierce, GJ (corresponding author), Univ Aberdeen, Dept Zool, Tillydrone Ave, Aberdeen AB24 2TZ, Scotland.</t>
  </si>
  <si>
    <t>Pierce, Graham/A-5404-2018</t>
  </si>
  <si>
    <t>Pierce, Graham/0000-0002-4744-4501</t>
  </si>
  <si>
    <t>10.1016/S0165-7836(01)00236-3</t>
  </si>
  <si>
    <t>WOS:000168616000012</t>
  </si>
  <si>
    <t>Lifton, NA; Jull, AJT; Quade, J</t>
  </si>
  <si>
    <t>A new extraction technique and production rate estimate for in situ cosmogenic 14C in quartz</t>
  </si>
  <si>
    <t>ACCELERATOR MASS-SPECTROMETRY; CL-36 PRODUCTION-RATES; HIGH-ENERGY NEUTRONS; HIGH-ALTITUDE ROCKS; NUCLIDE PRODUCTION; RADIOCARBON MEASUREMENTS; ANTARCTIC METEORITES; GEOMAGNETIC-FIELD; TERRESTRIAL ROCKS; LAKE BONNEVILLE</t>
  </si>
  <si>
    <t>The potential of in situ cosmogenic C-14 (in situ C-14) f0r surficial process studies is widely recognized, yet a reliable means of isolating it has proved difficult to develop. We present here a new method for extracting in situ C-14 from quartz that overcomes difficulties encountered with earlier techniques, yielding more reliable production rate estimates. Comparison of C-14 thermal release patterns from surficial and deeply shielded quartz samples (Lifton, 1997) demonstrated that contaminant C-14 is released at or below 500 degreesC, and that C-14 released between 500 and 1500 degreesC is essentially all in situ-produced. The new technique builds on this key result, using resistance heating of samples in the presence of a lithium metaborate (LIBO2) flux, and collection of all evolved carbon as CO2 between 500 degreesC and 1100 to 1200 degreesC. Our improved method has four distinct advantages over other extraction methods: (1) we can identify and quantitatively eliminate atmospheric/organic C-14 contamination; (2) we can identify the in situ C-14 component unambiguously without assumptions of (CO)-C-14/(CO2)-C-14 production proportions within the rock or equilibria on extraction; (3) in situ C-14 is reliably extracted from quartz at lower temperatures and in less time than earlier methods and (4) blank C-14 levels are consistently low ((2.3 +/- 0.1) X 10(5) C-14 atoms (1 sigma)). Our new extraction procedures should thus enable researchers to use in situ C-14 in diverse applications without reservation. We developed our new procedures using samples of wave-cut quartzite benches from the well-dated Bonneville (17.4 +/- 0.3 cal ky) and Prove (16.8 +/- 0.3 cal ky) shorelines of Pleistocene Lake Bonneville, Utah, and from underlying deeply shielded locations. In situ C-14 was extracted from quartz separated from 2 Bonneville shoreline samples (6 aliquots) and 1 Provo shoreline sample (2 aliquots). Results demonstrate that our new procedures can effectively isolate the in situ C-14 fraction with replicate analytical precision better than 2% (1 sigma, n = 5), while remaining consistent with earlier results. This level of precision and accuracy is comparable to or exceeds those currently obtainable with in situ cosmogenic Be-10, Al-26, He-3, Ne-21, and Cl-36. Resulting weighted mean in situ C-14 Site production rates for the Bonneville and Prove shorelines are 52.9 +/- 1.7 (C-14 atoms/g SiO2)/y and 48.7 +/- 2.8 (C-14 atoms/g SiO2)/y (1 sigma), respectively-consistent with earlier production rate estimates. Current and previously published in situ C-14 site production rate estimates were then scaled to sea level and high geomagnetic latitude using the latitude-altitude scaling models of Lal (1991) and Dunai (2000). Results indicate that both models yield sea level, high-latitude production rates consistent with independent estimates. Our new in situ C-14 data yield integrated late Quaternary production rate estimates at sea level and high latitude of 15.1 +/- 0.5 (C-14 atoms/g SiO2)/y using the Lal (1991) model, and 15.8 +/- 0.5 (C-14 atoms/g SiO2)/y with that of Dunai (2000). Until significant uncertainties in these models are addressed, however, we prefer the value from the widely-used Lal (1991) model as our best estimate of the integrated late Quaternary production rate for in situ C-14. Copyright (C) 2001 Elsevier Science Ltd.</t>
  </si>
  <si>
    <t>Univ Arizona, Dept Geosci, Tucson, AZ 85721 USA; Univ Arizona, NSF, Arizona Accelerator Mass Spectrometry Facil, Tucson, AZ 85721 USA</t>
  </si>
  <si>
    <t>University of Arizona; National Science Foundation (NSF); University of Arizona</t>
  </si>
  <si>
    <t>Univ Arizona, Dept Geosci, Tucson, AZ 85721 USA.</t>
  </si>
  <si>
    <t>lifton@geo.Arizona.edu</t>
  </si>
  <si>
    <t>Lifton, Nathaniel/M-2017-2015</t>
  </si>
  <si>
    <t>Lifton, Nathaniel/0000-0002-6976-3298</t>
  </si>
  <si>
    <t>1872-9533</t>
  </si>
  <si>
    <t>10.1016/S0016-7037(01)00566-X</t>
  </si>
  <si>
    <t>443FK</t>
  </si>
  <si>
    <t>WOS:000169330000007</t>
  </si>
  <si>
    <t>Le Meur, E; Huybrechts, P</t>
  </si>
  <si>
    <t>A model computation of the temporal changes of surface gravity and geoidal signal induced by the evolving Greenland ice sheet</t>
  </si>
  <si>
    <t>earth model; geoid; gravity; Greenland ice sheet; isostacy</t>
  </si>
  <si>
    <t>AGE ICE; PREDICTIONS; EVOLUTION; EARTH; MASS; PATTERNS; HOLOCENE</t>
  </si>
  <si>
    <t>This paper deals with present-day gravity changes in response to the evolving Greenland ice sheet. We present a detailed computation from a 3-D thermomechanical ice sheet model that is interactively coupled with a self-gravitating spherical viscoelastic bedrock model. The coupled model is run over the last two glacial cycles to yield the loading evolution over time. Based on both the ice sheet's long-term history and its modern evolution averaged over the last 200 years, results are presented of the absolute gravity trend that would arise from a ground survey and of the corresponding geoid rate of change a satellite would see from space. The main results yield ground absolute gravity trends of the order of +/-1 mu gal yr(-1) over the ice-free areas and total geoid changes in the range between - 0.1 and + 0.3 mm yr(-1). These estimates could help to design future measurement campaigns by revealing areas of strong signal and/or specific patterns, although there are uncertainties associated with the parameters adopted for the Earth's rheology and aspects of the ice sheet model, Given the instrumental accuracy of a particular surveying method, these theoretical trends could also be useful to assess the required duration of a measurement campaign. According to our results, the present-day gravitational signal is dominated by the response to past loading changes rather than current mass changes of the Greenland ice sheet. We finally discuss the potential of inferring the present-day evolution of the Greenland ice sheet from the geoid rate of change measured by the future geodetic GRACE mission. We find that despite the anticipated high-quality data from satellites, such a method is compromised by the uncertainties in the earth model, the dominance of isostatic recovery on the current bedrock signal, and other inaccuracies inherent to the method itself.</t>
  </si>
  <si>
    <t>British Antarctic Survey, NERC, Cambridge CB3 0ET, England; Alfred Wegener Inst Polar &amp; Marine Res, D-27515 Bremerhaven, Germany</t>
  </si>
  <si>
    <t>UK Research &amp; Innovation (UKRI); Natural Environment Research Council (NERC); NERC British Antarctic Survey; Helmholtz Association; Alfred Wegener Institute, Helmholtz Centre for Polar &amp; Marine Research</t>
  </si>
  <si>
    <t>Irstea, 2 Rue Papeterie,BP 76, F-38402 St Martin Dheres, France.</t>
  </si>
  <si>
    <t>emmanuel.lemeur@grenoble.cemagref.fr; phuybrechts@awi-bremerhaven.de</t>
  </si>
  <si>
    <t>Huybrechts, Philippe/J-5278-2013</t>
  </si>
  <si>
    <t>Huybrechts, Philippe/0000-0003-1406-0525</t>
  </si>
  <si>
    <t>10.1046/j.1365-246x.2001.01442.x</t>
  </si>
  <si>
    <t>444YU</t>
  </si>
  <si>
    <t>Bronze, Green Submitted</t>
  </si>
  <si>
    <t>WOS:000169428800023</t>
  </si>
  <si>
    <t>Fricker, HA; Popov, S; Allison, I; Young, N</t>
  </si>
  <si>
    <t>Distribution of marine ice beneath the Amery Ice Shelf</t>
  </si>
  <si>
    <t>ANTARCTICA; CRYSTALS</t>
  </si>
  <si>
    <t>We present a map of the marine ice accreted to the base of the Amery Ice Shelf (AIS), East Antarctica. This map is obtained by converting a Digital Elevation Model (DEM) of the AIS generated from satellite radar altimeter data to an ice thickness map, assuming hydrostatic equilibrium, and subtracting from that a second ice thickness map, derived from airborne radio-echo sounding (RES) measurements. The RES signal does not penetrate the marine ice, so the measurement is only to the meteoric-marine ice boundary, and therefore the difference between the two maps is the marine ice thickness. The marine ice is up to 190 m thick and accounts for about 9% of the shelf volume. It is concentrated in the northwest of the shelf, a result of the clockwise ocean circulation in the cavity below.</t>
  </si>
  <si>
    <t>Univ Calif San Diego, Scripps Inst Oceanog, IGPP, La Jolla, CA 92093 USA; Polar Marine Geol Res Expedit, St Petersburg 189510, Russia; Antarctic CRC &amp; Australian Antarctic Div, Hobart, Tas 7001, Australia</t>
  </si>
  <si>
    <t>University of California System; University of California San Diego; Scripps Institution of Oceanography; Australian Antarctic Division</t>
  </si>
  <si>
    <t>Univ Calif San Diego, Scripps Inst Oceanog, IGPP, La Jolla, CA 92093 USA.</t>
  </si>
  <si>
    <t>hafricker@ucsd.edu</t>
  </si>
  <si>
    <t>Popov, Sergey V./I-2319-2013; Allison, Ian F/I-4477-2015; Popov, Sergey/IYJ-2371-2023</t>
  </si>
  <si>
    <t>Popov, Sergey V./0000-0002-1830-8658; Allison, Ian F/0000-0001-9599-0251; Popov, Sergey/0000-0002-1830-8658; Fricker, Helen Amanda/0000-0002-0921-1432; Young, Neal/0000-0001-9729-3273</t>
  </si>
  <si>
    <t>10.1029/2000GL012461</t>
  </si>
  <si>
    <t>434TB</t>
  </si>
  <si>
    <t>WOS:000168831000026</t>
  </si>
  <si>
    <t>Urban-Rich, J</t>
  </si>
  <si>
    <t>Seston effects on faecal pellet carbon concentrations from a mixed community of copepods in Balsfjord, Norway, and the Antarctic Polar Front</t>
  </si>
  <si>
    <t>ICES JOURNAL OF MARINE SCIENCE</t>
  </si>
  <si>
    <t>Young Scientists Conference on Marine Ecosystems Perspectives</t>
  </si>
  <si>
    <t>NOV 20, 1999</t>
  </si>
  <si>
    <t>GILLELEJE, DENMARK</t>
  </si>
  <si>
    <t>amino acid carbon; Antarctic; Balsfjord; copepod faecal pellets; pellet carbon; pellet production rates</t>
  </si>
  <si>
    <t>FECAL PELLETS; OIKOPLEURA-VANHOEFFENI; FOOD CONCENTRATION; CALANUS-PACIFICUS; FEEDING-BEHAVIOR; ACARTIA-TONSA; AMINO-ACIDS; SIZE; ZOOPLANKTON; PLANKTON</t>
  </si>
  <si>
    <t>The effects of phytoplankton community composition on faecal pellet carbon concentrations from a mixed community of large (&gt; 500 mum) copepods were examined in studies in two areas: Balsfjord, Norway, and the Pacific sector of the Antarctic Polar Front. The Balsfjord study was conducted during the spring bloom of 1994. Faecal pellet production rates, dry weights and total amino acid carbon concentrations were positively correlated with chlorophyll concentrations. However, faecal pellet carbon concentrations were nor correlated to chlorophyll levels but rather appeared related to the phytoplankton community composition. Lower faecal pellet carbon concentrations were consistently found when diatoms constituted &gt; 50% of the available plankton. Similar results were found in the Antarctic Polar Front study. In which was conducted during the austral spring and summer of 1997-1998. Over spring and summer. faecal pellet carbon concentrations were negatively correlated with particulate biogenic silica concentrations. Results from both of these field studies suggest that, on a community level. the diet of copepods affects the carbon concentration of the pellets and thus the potential flux of carbon via faecal pellets. (C) 2001 International Council For the Exploration of the Sea.</t>
  </si>
  <si>
    <t>Univ Massachusetts, Boston, MA 02125 USA</t>
  </si>
  <si>
    <t>University of Massachusetts System; University of Massachusetts Boston</t>
  </si>
  <si>
    <t>Urban-Rich, J (corresponding author), Univ Massachusetts, 100 Morrissey Blvd, Boston, MA 02125 USA.</t>
  </si>
  <si>
    <t>1054-3139</t>
  </si>
  <si>
    <t>ICES J MAR SCI</t>
  </si>
  <si>
    <t>ICES J. Mar. Sci.</t>
  </si>
  <si>
    <t>10.1006/jmsc.2000.1055</t>
  </si>
  <si>
    <t>444WC</t>
  </si>
  <si>
    <t>WOS:000169422200016</t>
  </si>
  <si>
    <t>Cockell, CS</t>
  </si>
  <si>
    <t>'Astrobiology' and the ethics of new science</t>
  </si>
  <si>
    <t>INTERDISCIPLINARY SCIENCE REVIEWS</t>
  </si>
  <si>
    <t>EXOBIOLOGY; LIFE</t>
  </si>
  <si>
    <t>Astrobiology has recently been feted as a science for the twenty-first century. Founded as a science in the Soviet Union in 1953, its recent manifestation has been accompanied by a large media response and a series of new books. The histories of the term 'astrobiology' and its twin sister 'exobiology' raise interesting ethical questions about how the scientific community recognises a field as being a separate entity and about the processes by which the international scientific community engages in debate on the establishment (or in this case rebirth) of a field. Comparison with the history of the emergence of fields such as nanotechnology and neurobiology illustrates the complexities involved. These complexities have become exaggerated in a world where the majority of scientific output is presided over by market economics. In societies where marketing and media interest have become intimately intertwined with scientific funding and political support for science, the declaration of new fields of activity presents novel problems in the process of scientific enquiry.</t>
  </si>
  <si>
    <t>British Antarctic Survey, Cambridge CB3 0ET, England; Fitzwilliam Coll, Cambridge, England</t>
  </si>
  <si>
    <t>UK Research &amp; Innovation (UKRI); Natural Environment Research Council (NERC); NERC British Antarctic Survey; University of Cambridge</t>
  </si>
  <si>
    <t>12 Kingston St, Cambridge CB1 2NU, England.</t>
  </si>
  <si>
    <t>csco@pcmail.nerc-bas.ac.uk</t>
  </si>
  <si>
    <t>ROUTLEDGE JOURNALS, TAYLOR &amp; FRANCIS LTD</t>
  </si>
  <si>
    <t>2-4 PARK SQUARE, MILTON PARK, ABINGDON OX14 4RN, OXON, ENGLAND</t>
  </si>
  <si>
    <t>0308-0188</t>
  </si>
  <si>
    <t>1743-2790</t>
  </si>
  <si>
    <t>INTERDISCIPL SCI REV</t>
  </si>
  <si>
    <t>Interdiscip. Sci. Rev.</t>
  </si>
  <si>
    <t>SUM</t>
  </si>
  <si>
    <t>Multidisciplinary Sciences; Social Sciences, Interdisciplinary</t>
  </si>
  <si>
    <t>Science &amp; Technology - Other Topics; Social Sciences - Other Topics</t>
  </si>
  <si>
    <t>460LF</t>
  </si>
  <si>
    <t>WOS:000170308500004</t>
  </si>
  <si>
    <t>Beard, AG; Williams, PJS; Mitchell, NJ; Muller, HG</t>
  </si>
  <si>
    <t>A spectral climatology of planetary waves and tidal variability</t>
  </si>
  <si>
    <t>Meeting of the International-Union-of-Geodesy-and-Geophysics (IUGG)</t>
  </si>
  <si>
    <t>JUL 27-28, 1999</t>
  </si>
  <si>
    <t>UNIV BIRMINGHAM, BIRMINGHAM, ENGLAND</t>
  </si>
  <si>
    <t>UNIV BIRMINGHAM</t>
  </si>
  <si>
    <t>spectral climatology; planetary waves; amplitude modulation of tides</t>
  </si>
  <si>
    <t>SUMMER MESOSPHERIC TEMPERATURE; QUASI 16-DAY OSCILLATION; LOWER THERMOSPHERE; ANTARCTIC MESOSPHERE; ROSSBY WAVES; TIME-SERIES; RADAR</t>
  </si>
  <si>
    <t>Four and a half years of data from a meteor radar based at Sheffield, UK, representing measurements of neutral wind velocity in the meteor region above 53 degrees 27'N, 3 degrees 53/W, are analysed to produce climatologies of both longer-period (2-30 days) neutral-wind oscillations (e.g. planetary waves) and longer-period variability in tidal amplitude measurements using running (dynamic) periodograms. The observed burst-like nature of longer-period oscillations and migration of period are discussed in the light of current planetary-wave theory. Evidence for the cyclical modulation of tidal amplitude with periods similar to those of planetary waves is also presented and its possible origin discussed. (C) 2001 Elsevier Science Ltd. All rights reserved.</t>
  </si>
  <si>
    <t>Univ Wales, Dept Phys, Prifysgol Cymru Aberystw SY23 3BZ, Ceredigion, Wales; Cranfield Univ, Dept Informat &amp; Simulat, RCMS Shrivenham, Swindon SN6 8LA, Wilts, England</t>
  </si>
  <si>
    <t>Cranfield University</t>
  </si>
  <si>
    <t>Univ Wales, Dept Phys, Prifysgol Cymru Aberystw SY23 3BZ, Ceredigion, Wales.</t>
  </si>
  <si>
    <t>pjw@aber.ac.uk</t>
  </si>
  <si>
    <t>10.1016/S1364-6826(00)00194-2</t>
  </si>
  <si>
    <t>440KK</t>
  </si>
  <si>
    <t>WOS:000169174300002</t>
  </si>
  <si>
    <t>Olsson, O; Bonnedahl, J; Anker-Nilssen, P</t>
  </si>
  <si>
    <t>Mate switching and copulation behaviour in King Penguins</t>
  </si>
  <si>
    <t>JOURNAL OF AVIAN BIOLOGY</t>
  </si>
  <si>
    <t>APTENODYTES-PATAGONICUS; FOOD AVAILABILITY; ADELIE PENGUIN; BREEDING CYCLE; URIA-AALGE</t>
  </si>
  <si>
    <t>Extra-pair paternity (EPP) in monogamous birds may result from either extra-pail copulations (EPCs) or mate switching. In this study of King Penguins in South Georgia, we observed no EPCs at all, an effect of very efficient mate guarding. Onshore males fast and need not divert attention to foraging or to defending nest or territory, as this species has neither. How ever, we Found that mate switching was common. On average 38% (range: 29%-56%; three years pooled) of the birds established pair bonds with at least one initial partner before su itching to the partner they bred with (i.e. the pair mate). Of the observed copulations of 44 studied females, 22% were with initial partners and 78% with the pair mate. This and the high proportion of mate switching suggest that roughly 10% of the females could have received sperm from males other than the pair mate. The average copulation frequency was 0.026 h (-1), resulting in an estimated 8.2 copulations per clutch (which consists of one egg). That more copulations than necessary for fertilisation occur suggests that males try to protect paternity by sperm competition. and that this is a result of the potential for EPP due to mate switching in King Penguins. All observed copulations except one took place between days 13 and 5, with the peak 7.5 days prior to egg-laying. The birds Found their pair mates (often not the same as in the previous year) on average about 10 days before egg-laying, and always established themselves at the outskirts of the colony about 8 days before egg-laying. Thus, most copulations occurred around the time the birds joined the colony. We suggest that it is adaptive to obtain a breeding spot early, because the colony will grow and pairs joining later will protect the offspring. Additionally, we suggest that early copulation outside the colony is adaptive because of the risk of Failing to fertilise the egg when copulating among aggressive neighbours inside the dense colony. Based on these two arguments we suggest a safe place hypothesis to explain the early copulation peak in King Penguins.</t>
  </si>
  <si>
    <t>Formas, SE-11182 Stockholm, Sweden; British Antarctic Survey, Cambridge CB3 0ET, England; Kalmar Cty Hosp, Dept Infect Dis, SE-38195 Kalmar, Sweden; Umea Univ, Dept Microbiol, SE-90187 Umea, Sweden; Univ Oslo, Dept Marine Zool, Oslo, Norway</t>
  </si>
  <si>
    <t>Swedish Research Council Formas; UK Research &amp; Innovation (UKRI); Natural Environment Research Council (NERC); NERC British Antarctic Survey; Umea University; University of Oslo</t>
  </si>
  <si>
    <t>Olsson, O (corresponding author), Formas, Box 1206, SE-11182 Stockholm, Sweden.</t>
  </si>
  <si>
    <t>Bonnedahl, Jonas/GZG-8435-2022</t>
  </si>
  <si>
    <t>Bonnedahl, Jonas/0000-0002-3182-389X; Olsson, Olof/0000-0002-9479-7609</t>
  </si>
  <si>
    <t>0908-8857</t>
  </si>
  <si>
    <t>J AVIAN BIOL</t>
  </si>
  <si>
    <t>J. Avian Biol.</t>
  </si>
  <si>
    <t>10.1034/j.1600-048X.2001.320206.x</t>
  </si>
  <si>
    <t>438UK</t>
  </si>
  <si>
    <t>WOS:000169072500006</t>
  </si>
  <si>
    <t>Curran, MAJ; Palmer, AS</t>
  </si>
  <si>
    <t>Suppressed ion chromatography methods for the routine determination of ultra low level anions and cations in ice cores</t>
  </si>
  <si>
    <t>JOURNAL OF CHROMATOGRAPHY A</t>
  </si>
  <si>
    <t>ice cores; anions; cations</t>
  </si>
  <si>
    <t>MAJOR IONS; SAMPLES; SNOW</t>
  </si>
  <si>
    <t>The concentration of trace ionic species in snow and ice samples was determined using suppressed ion chromatography (IC) with conductivity detection and ultra-clean sample preparation techniques. Trace anion species were determined in a single 24-min run by combining sample preconcentration with gradient elution using Na2B4O7 eluent. The detection limits (ranging from 0.001 to 0.006 muM) are the lowest reported in the literature. Cation species were analysed by direct injection of 0.25 ml and isocratic elution with a H,SO, eluent. The clean preparation techniques showed no evidence of a difference (Student's t-test) between Milli-Q water samples analysed directly and processed Milli-Q ice samples. These robust, ultra-clean IC methods were routinely applied to the analysis of large number of samples to produce a high-resolution trace ion ice core record from Law Dome, East Antarctica. (C) 2001 Elsevier Science BN. All rights reserved.</t>
  </si>
  <si>
    <t>Antarctic CRC, Hobart, Tas 7001, Australia; Australian Antarctic Div, Hobart, Tas 7001, Australia; Univ Tasmania, Inst Antarctic &amp; So Ocean Studies, Hobart, Tas 7001, Australia</t>
  </si>
  <si>
    <t>Australian Antarctic Division; University of Tasmania</t>
  </si>
  <si>
    <t>0021-9673</t>
  </si>
  <si>
    <t>J CHROMATOGR A</t>
  </si>
  <si>
    <t>J. Chromatogr. A</t>
  </si>
  <si>
    <t>10.1016/S0021-9673(01)00790-7</t>
  </si>
  <si>
    <t>Biochemical Research Methods; Chemistry, Analytical</t>
  </si>
  <si>
    <t>441ZG</t>
  </si>
  <si>
    <t>WOS:000169259000012</t>
  </si>
  <si>
    <t>Maier, MS; Roccatagliata, AJ; Kuriss, A; Chludil, H; Seldes, AM; Pujol, CA; Damonte, EB</t>
  </si>
  <si>
    <t>Two new cytotoxic and virucidal trisulfated triterpene glycosides from the antarctic sea cucumber Staurocucumis liouvillei</t>
  </si>
  <si>
    <t>SULFATED POLYHYDROXYSTEROIDS; ANTIVIRAL ACTIVITY</t>
  </si>
  <si>
    <t>Two new trisulfated triterpene glycosides, liouvillosides A (1) and B (2), have been isolated ft om the Antarctic sea cucumber Staurocucumis liouvillei. Their structures have been elucidated by spectroscopic analysis (NMR and FABMS) and chemical transformations. Liouvillosides A(1) and B (2) are two new examples of a small number of trisulfated triterpene glycosides from sea cucumbers belonging to the family Cucumariidae. Both glycosides were found to be virucidal against herpes simplex virus type 1 (HSV-1) at concentrations below 10 mug/mL.</t>
  </si>
  <si>
    <t>Univ Buenos Aires, Fac Ciencias Exactas &amp; Nat, Dept Quim Organ, RA-1428 Buenos Aires, DF, Argentina; Univ Buenos Aires, Fac Ciencias Exactas &amp; Nat, Dept Quim Biol, RA-1428 Buenos Aires, DF, Argentina</t>
  </si>
  <si>
    <t>University of Buenos Aires; University of Buenos Aires</t>
  </si>
  <si>
    <t>Maier, MS (corresponding author), Univ Buenos Aires, Fac Ciencias Exactas &amp; Nat, Dept Quim Organ, Pabellon 2,Ciudad Univ, RA-1428 Buenos Aires, DF, Argentina.</t>
  </si>
  <si>
    <t>10.1021/np000584i</t>
  </si>
  <si>
    <t>Index Chemicus (IC); Science Citation Index Expanded (SCI-EXPANDED)</t>
  </si>
  <si>
    <t>445WE</t>
  </si>
  <si>
    <t>WOS:000169480900009</t>
  </si>
  <si>
    <t>Riley, TR; Leat, PT; Pankhurst, RJ; Harris, C</t>
  </si>
  <si>
    <t>Origins of large volume rhyolitic volcanism in the Antarctic Peninsula and Patagonia by crustal melting</t>
  </si>
  <si>
    <t>JOURNAL OF PETROLOGY</t>
  </si>
  <si>
    <t>crustal contamination; Gondwana; MASH; rhyolite; Sr-Nd-O isotopes</t>
  </si>
  <si>
    <t>GRAHAM LAND; GEOCHEMICAL EVIDENCE; SILICIC VOLCANISM; PARANA RHYOLITES; SOUTHERN BRAZIL; FLOOD BASALTS; PALMER LAND; BREAK-UP; MAGMATISM; ARC</t>
  </si>
  <si>
    <t>Voluminous rhyolitic volcanism, along the palaeo-Pacific margin of Gondwana was marked by three principal episodes of magmatism. The first of these (V(1)) is essentially coincident with the main episode of Karoo-Ferrar magmatism at similar to 184 Ma. A younger (V(2)) episode occurred at similar to 168 Ma, and a third episode (V(3)) occurred in the interval 157-153 Ma. We evaluate the origin of V(1) and V(2) rhyolites from the Antarctic Peninsula using major and trace element and isotopic (Sr, Nd, O) data. An isotopically uniform ((87)Sr/(86)Sr(i) similar to 0.707; epsilon Nd(i) similar to -3) andesite-dacite magma was generated as a result of anatexis of 'Grenvillian age' hydrous mafic lower crust, linked to earlier; arc-related underplating. The lower-crustal partial melts would have mixed with fractionated components of the mafic underplate, followed by subsequent storage and homogenization. Early Jurassic (V(1)) rocks of the southern Antarctic Peninsula are interpreted as melts of upper-crustal paragneiss, which have mixed with the isotopically uniform magma in upper-crustal magma chambers. The V(2) rhyolites are the result of assimilation-fractional crystallization of the isotopically uniform magma. This occurred in upper-crustal magma chambers involving assimilants with similar isotopic composition to that of the magma. A continental margin setting was crucial in developing hydrous, readily fusible lower crust. Lower-crustal anatexis was in response to mafic underplating associated with the Discovery-Shona-Bouvet group of plumes, thought to be responsible for the Karoo magmatic province. The progression (old to young) of volcanism, for NE to SW in Patagonia and south to north in the Antarctic Peninsula is consistent with migration away from the mantle plumes towards the proto-Pacific margin of Gondwana during rifting and break-up.</t>
  </si>
  <si>
    <t>British Antarctic Survey, Nat Environm Res Council, Cambridge CB3 0ET, England; NERC, Isotope Geosci Lab, Keyworth NG12 5GG, Notts, England; Univ Cape Town, Dept Geol Sci, ZA-7700 Rondebosch, South Africa</t>
  </si>
  <si>
    <t>UK Research &amp; Innovation (UKRI); Natural Environment Research Council (NERC); NERC British Antarctic Survey; UK Research &amp; Innovation (UKRI); Natural Environment Research Council (NERC); NERC British Geological Survey; University of Cape Town</t>
  </si>
  <si>
    <t>Riley, TR (corresponding author), British Antarctic Survey, Nat Environm Res Council, High Cross,Madingley Rd, Cambridge CB3 0ET, England.</t>
  </si>
  <si>
    <t>t.riley@bas.ac.uk</t>
  </si>
  <si>
    <t>Harris, Chris/H-8720-2012</t>
  </si>
  <si>
    <t>Harris, Chris/0000-0003-0340-6674; Riley, Teal/0000-0002-3333-5021</t>
  </si>
  <si>
    <t>0022-3530</t>
  </si>
  <si>
    <t>J PETROL</t>
  </si>
  <si>
    <t>J. Petrol.</t>
  </si>
  <si>
    <t>10.1093/petrology/42.6.1043</t>
  </si>
  <si>
    <t>445TY</t>
  </si>
  <si>
    <t>WOS:000169475700001</t>
  </si>
  <si>
    <t>Gorring, ML; Kay, SM</t>
  </si>
  <si>
    <t>Mantle processes and sources of neogene slab window magmas from southern Patagonia, Argentina</t>
  </si>
  <si>
    <t>slab window; magmatism; southern Patagonia; plateau basalt petrogenesis; mantle chemistry; back-arc processes</t>
  </si>
  <si>
    <t>NORTHERN CANADIAN CORDILLERA; EAST PACIFIC RISE; TRACE-ELEMENT; VOLCANIC-ROCKS; PLATEAU LAVAS; CHEMICAL GEODYNAMICS; WESTERN CALIFORNIA; CONTINENTAL-CRUST; RIDGE COLLISION; TRIPLE JUNCTION</t>
  </si>
  <si>
    <t>Neogene plateau lavas in Patagonia, southern Argentina, east of the volcanic gap between the Southern and Austral Volcanic Zones at 46.5 degrees and 49.5 degrees S are linked with asthenospheric slab window processes associated with the collision of Chile Ridge segment with the Chile Trench at 12 Ma. The strong ocean-island basalt (OIB)-like geochemical signatures (La/Ta &lt; 20; Ba/La &lt; 20; Sr-87/Sr-86 = 0.7035-0.7046; Nd-143/Nd-144 = 0.51290-0.51261; Pb-206/Pb-204 = 18.3-18.8; Pb-207/Pb-204 = 15.57-15.65; Pb-208/Pb-204 = 38.4-38.7) of these Patagonian slab window lavas elsewhere in the Cordillera (e.g. Antarctic Peninsula; Baja California). The Patagonian lavas can be divided into a voluminous similar to 12-5 Ma, tholeiitic main-plateau sequence (48-55% SiO2; 4-5% Na2O + K2O) and a less voluminous similar to 7-2 Ma alkaline post-plateau sequence (43-49% SiO2; 5-8% Na2O + K2O). Moderately high FeOgamma (9-11%), and low heavy rare earth element (HREE), gamma, and Sc concentrations in all lavas are consistent with melt generation just below the garnet-spinel transition at a depth of similar to 70 km. The main-plateau lavas from the western back-arc can be modeled by similar to 10-15% partial melting of an OIB-like asthenospheric mantle source with additions from slab fluid-melt components coupled with crustal contamination (AFC). A three-stage petrogenetic model is envisaged: (1) decompression melting and source region contamination of an OIB-like subslab asthenospheric source by slab melts of the trailing edge of the subducted Nazca Plate; (2) minor contamination of slab window melts with arc components 'stored' in the supraslab mantle wedge and/or basal continental lithosphere; (3) further modification by addition of crustal components during magma ascent. The main-plateau lavas from the eastern back-arc can be modeled similar to 7% partial melting of the same asthenospheric source as the influence of arc components diminishes and the intensity of mantle upwelling into the slab window decreases. All post-plateau lavas can be modeled as 1-4% partial melts of the pristine OIB-like asthenospheric source in the widening slab window.</t>
  </si>
  <si>
    <t>Gorring, ML (corresponding author), Montclair State Univ, Dept Earth &amp; Environm Studies, Upper Montclair, NJ 07043 USA.</t>
  </si>
  <si>
    <t>Kay, Suzanne/AAG-7493-2020</t>
  </si>
  <si>
    <t>Kay, Suzanne/0000-0003-1125-3209</t>
  </si>
  <si>
    <t>10.1093/petrology/42.6.1067</t>
  </si>
  <si>
    <t>WOS:000169475700002</t>
  </si>
  <si>
    <t>Froneman, PW; Laubscher, RK; McQuaid, CD</t>
  </si>
  <si>
    <t>Size-fractionated primary production in the south Atlantic and Atlantic sectors of the Southern Ocean</t>
  </si>
  <si>
    <t>PHYTOPLANKTON PRODUCTION; ANTARCTIC PHYTOPLANKTON; CARBON; IRON; DRAWDOWN; BIOMASS; WATERS; BLOOMS; FRONT; SEA</t>
  </si>
  <si>
    <t>Results are presented from size fractionated chlorophyll a (Chl a) and primary production studies along a transect between Antarctica and southern Africa during the second South African Antarctic Marine Ecosystem Study (SAAMES II), conducted in late austral summer (January to February) 1993. Total integrated Chl a along the transect was highest in the vicinity of the Marginal Ice Zone (MIZ) and Antarctic Polar Front (APF). At these stations, integrated Chl a biomass was always &gt; 25 mg Chl a m(-2) and was dominated by microphytoplankton. Although nominal increases in Chl a biomass were also associated with the Subantarctic Front (SAF) and Subtropical Convergence (STC), total Chl a biomass in these regions was dominated by nanophytoplankton. within the interfrontal regions, total integrated Chl a biomass was lower, generally &lt; 25 mg Chl a m(-2), and was always dominated by nanophytoplankton. An exception was found in the Agulhas Return Current (ARC) where picophytoplankton dominated. Total daily integrated production along the transect ranged between 60 and 436 mg C m(-2) day(-1). Elevated production rates were recorded at stations occupied in the vicinity, of the MIZ and at all the major oceanic frontal systems. The contributions of the various size fractions to total daily production displayed the same spatial pattern as integrated biomass, with microphytoplankton being the most important contributor in areas characterized by elevated phytoplankton biomass. Outside these regions, nanophytoplankton dominated the total phytoplankton production. Again, an exception was found in the ARC north of the STC where picophytoplankton dominated total production. There, the lowest production along the entire transect was recorded, with total daily integrated production always &lt; 90 mg C m(-2) day(-1). The increased production rates recorded in the MIZ appeared to result from increased water column stability, as indicated by a shallow mixed-layer depth. Within the inter frontal regions, the existence of a deep mixed layer appeared to limit phytoplankton production. Low, silicate concentrations in the waters north of the APF may also have limited the growth of large microphytoplankton.</t>
  </si>
  <si>
    <t>Rhodes Univ, Dept Zool &amp; Entomol, So Ocean Grp, ZA-6140 Grahamstown, South Africa</t>
  </si>
  <si>
    <t>Rhodes University</t>
  </si>
  <si>
    <t>Froneman, PW (corresponding author), Rhodes Univ, Dept Zool &amp; Entomol, So Ocean Grp, POB 94, ZA-6140 Grahamstown, South Africa.</t>
  </si>
  <si>
    <t>Froneman, William/GLS-0460-2022; McQuaid, Christopher/AAT-3725-2020; Froneman, William/C-9085-2012</t>
  </si>
  <si>
    <t>Froneman, William/0000-0003-0615-1355; McQuaid, Christopher/0000-0002-3473-8308;</t>
  </si>
  <si>
    <t>10.1093/plankt/23.6.611</t>
  </si>
  <si>
    <t>456QW</t>
  </si>
  <si>
    <t>WOS:000170094600005</t>
  </si>
  <si>
    <t>Bigatti, G; Penchaszadeh, PE; Mercuri, G</t>
  </si>
  <si>
    <t>Aspects of the gonadal cycle in the Antarctic bivalve Laternula elliptica</t>
  </si>
  <si>
    <t>JOURNAL OF SHELLFISH RESEARCH</t>
  </si>
  <si>
    <t>Laternula elliptica; Antarctic clams; vitellogenesis; oocyte growth; first maturation</t>
  </si>
  <si>
    <t>KING</t>
  </si>
  <si>
    <t>Vitellogenesis and oocyte growth in Laternula elliptica, a common hermaphrodite bivalve living in the soft muddy bottoms of the Antarctic continent, are reported. Formation of the gelatinous layer surrounding the oocyte, gonadic development, accumulation of mature oocytes, and spawning events were studied through histological evidence. Gonads were observed to reach maturity at a size of 49 mm. Vitellogenesis has been found to last seven months, and storage of oocytes before spawning was observed, It has been observed that once sexually mature, the animals remain with sperm cells and oocytes available during the entire year, suggesting that individuals would be prepared to spawn at any moment, probably depending on environmental conditions.</t>
  </si>
  <si>
    <t>Univ Buenos Aires, Fac Ciencias Exactas &amp; Nat, Buenos Aires, DF, Argentina; Consejo Nacl Invest Cient &amp; Tecn, Museo Ciencias Nat, RA-1033 Buenos Aires, DF, Argentina; Inst Antart Argentino, RA-1010 Buenos Aires, DF, Argentina</t>
  </si>
  <si>
    <t>University of Buenos Aires; Consejo Nacional de Investigaciones Cientificas y Tecnicas (CONICET); Instituto Antartico Argentino</t>
  </si>
  <si>
    <t>Mercuri, G (corresponding author), Univ Buenos Aires, Fac Ciencias Exactas &amp; Nat, Av Angel Gallardo 470, Buenos Aires, DF, Argentina.</t>
  </si>
  <si>
    <t>Penchaszadeh, Pablo/ABB-8472-2021</t>
  </si>
  <si>
    <t>Penchaszadeh, Pablo/0000-0002-2043-8814; BIGATTI, GREGORIO/0000-0001-7053-6802</t>
  </si>
  <si>
    <t>NATL SHELLFISHERIES ASSOC</t>
  </si>
  <si>
    <t>SOUTHAMPTON</t>
  </si>
  <si>
    <t>C/O DR. SANDRA E. SHUMWAY, NATURAL SCIENCE DIVISION, SOUTHAMPTON COLLEGE, SOUTHAMPTON, NY 11968 USA</t>
  </si>
  <si>
    <t>0730-8000</t>
  </si>
  <si>
    <t>J SHELLFISH RES</t>
  </si>
  <si>
    <t>J. Shellfish Res.</t>
  </si>
  <si>
    <t>473KN</t>
  </si>
  <si>
    <t>WOS:000171043000035</t>
  </si>
  <si>
    <t>Garnacho, E; Tyler, PA; Peck, LS</t>
  </si>
  <si>
    <t>Reproduction, seasonality, and copper toxicity in the coastal mysid Praunus flexuosus</t>
  </si>
  <si>
    <t>LIFE-CYCLE; CRUSTACEA; BAHIA; ECOPHYSIOLOGY; SALINITY; SURVIVAL; BIOLOGY; GROWTH; ISOPOD; ZINC</t>
  </si>
  <si>
    <t>The reproductive biology, in response to temperature, season and copper, of it coastal population of opossum shrimps (Crustacea: Mysidacea) was measured. The reproductive pattern for Praunus flexuosus at Keyhaven (west Solent, southern England) has maximum activity in April and maximum reproductive effort in May/June. Increasing temperature decreases incubation time and the reproductive pattern is adapted to compensate for temperature effects. Reproduction was inhibited with copper exposure. Fertilization of the eggs did not occur in any copper treatment (5, 25, 75, 200 mug l(-1) copper added). Brooding females exposed to copper suffered a high abortion rate. The inability to produce broods, appears to be a long-term effect, as specimens previously exposed to copper did not produce any broods after two weeks in seawater controls.</t>
  </si>
  <si>
    <t>Southampton Oceanog Ctr, Sch Ocean &amp; Earth Sci, Southampton S014 3ZH, Hants, England; British Antarctic Survey, NERC, Cambridge CB3 9EU, England</t>
  </si>
  <si>
    <t>NERC National Oceanography Centre; UK Research &amp; Innovation (UKRI); Natural Environment Research Council (NERC); NERC British Antarctic Survey</t>
  </si>
  <si>
    <t>Southampton Oceanog Ctr, Sch Ocean &amp; Earth Sci, European Way, Southampton S014 3ZH, Hants, England.</t>
  </si>
  <si>
    <t>pat8@soc.soton.ac.uk</t>
  </si>
  <si>
    <t>1469-7769</t>
  </si>
  <si>
    <t>10.1017/S0025315401004064</t>
  </si>
  <si>
    <t>468EZ</t>
  </si>
  <si>
    <t>WOS:000170746300010</t>
  </si>
  <si>
    <t>Klee, RJ</t>
  </si>
  <si>
    <t>Industrial metabolism on ice: a case study of industrial materials flows and environmental management alternatives for Scott Base, New Zealand's Antarctic research station</t>
  </si>
  <si>
    <t>JOURNAL OF THE ROYAL SOCIETY OF NEW ZEALAND</t>
  </si>
  <si>
    <t>industrial metabolism; environmental management; Antarctica; Scott Base New Zealand; industrial ecology; materials flow analysis</t>
  </si>
  <si>
    <t>Human activity to support scientific research in the Antarctic environment poses potential threats to Antarctic ecosystems with regard to materials use and waste generation. To begin to understand the potential environmental impacts, a case study materials flow analysis was carried out for New Zealand's Scott Base. In a typical research season (1 July 1997-30 June 1998), Scott Base consumed 308 tonnes of fossil fuels, producing approximately 1000 tonnes of CO2, 26 tonnes of NOx, and measurable quantities of SOx, CO, particulates, and trace metals. It required 1482 tonnes of freshwater, which produced 1400 tonnes of sewage containing approximately 170 kg of Total Nitrogen, 25 kg of Total Phosphorous, 750 kg of BOD5, and 1250 kg of suspended solids. It received 217.5 tonnes of bulk cargo; 12 tonnes of burnables were incinerated on site and 40 tonnes of rubbish and cargo were returned to New Zealand. Human industrial residues are accumulating in and around Scott Base. In response to this material imbalance, management initiatives to improve environmental performance are discussed, including the transition to non-fossil fuel energy sources to reduce air emissions; the use of an integrated biosystem. to reduce wastewater; and improved building design to reduce solid wastes.</t>
  </si>
  <si>
    <t>Yale Univ, Sch Forestry &amp; Environm Studies, Ctr Ind Ecol, New Haven, CT 06511 USA</t>
  </si>
  <si>
    <t>Yale University</t>
  </si>
  <si>
    <t>Klee, RJ (corresponding author), Yale Univ, Sch Forestry &amp; Environm Studies, Ctr Ind Ecol, 205 Prospect St, New Haven, CT 06511 USA.</t>
  </si>
  <si>
    <t>0303-6758</t>
  </si>
  <si>
    <t>J ROY SOC NEW ZEAL</t>
  </si>
  <si>
    <t>J. R. Soc. N.Z.</t>
  </si>
  <si>
    <t>10.1080/03014223.2001.9517661</t>
  </si>
  <si>
    <t>463XM</t>
  </si>
  <si>
    <t>WOS:000170502600007</t>
  </si>
  <si>
    <t>Crocker, DE; Gales, NJ; Costa, DP</t>
  </si>
  <si>
    <t>Swimming speed and foraging strategies of New Zealand sea lions (Phocarctos hookeri)</t>
  </si>
  <si>
    <t>diving; pinnipeds; aerobic metabolism; Phocarctos hookeri</t>
  </si>
  <si>
    <t>SOUTHERN ELEPHANT SEAL; ANTARCTIC FUR SEALS; DIVING BEHAVIOR; ZALOPHUS-CALIFORNIANUS; FEMALE; VELOCITIES; OTARIIDS; COSTS</t>
  </si>
  <si>
    <t>Lactating New Zealand sea lions (Phocarctos hookeri) have recently been reported to be the longest and deepest-diving otariid. An unusually large proportion of dives exceeded a theoretical aerobic dive limit, predicted from estimated oxygen stores and measurements of diving metabolic rate. We investigated swimming speed, a key variable in both the management of oxygen stores and foraging strategies, and its relation to diving behaviour in New Zealand sea lions. Diving behaviour was nearly continuous with short inter-dive intervals, Mean diving swimming speeds ranged from 1.6 to 2.4 m/s. Mean surface swimming speeds ranged from 0.9 to 1.8 m/s and were significantly lower than diving speeds in all subjects. New Zealand sea lions spend significant but variable amounts of time resting at the surface. Diving and swimming speed patterns were consistent with foraging on the benthos. Time in the foraging zone was maintained in deeper dives by increasing dive duration. This increased duration cannot be accounted for by a decreased metabolic rate resulting from slower swimming speeds, as speeds increased with the maximum depth of dives. Patterns of swimming speed and acceleration suggest the use of a gliding phase during descent. For most females, the extended duration of deeper dives did not impact on surface times, suggesting the use of aerobic metabolism. Females exhibited significantly slower swim speeds during the bottom segments of foraging dives than during descent or ascent. These findings suggest that swimming behaviour should be considered a critical component when modelling energetic costs for diving animals.</t>
  </si>
  <si>
    <t>Univ Calif Santa Cruz, Dept Biol, Santa Cruz, CA 95064 USA; Univ Calif Santa Cruz, Inst Marine Sci, Santa Cruz, CA 95064 USA</t>
  </si>
  <si>
    <t>University of California System; University of California Santa Cruz; University of California System; University of California Santa Cruz</t>
  </si>
  <si>
    <t>Crocker, DE (corresponding author), Sonoma State Univ, Dept Biol, 1801 E Cotati Ave, Rohnert Park, CA 94928 USA.</t>
  </si>
  <si>
    <t>10.1017/S0952836901000784</t>
  </si>
  <si>
    <t>446MP</t>
  </si>
  <si>
    <t>WOS:000169517300015</t>
  </si>
  <si>
    <t>Gerber, LR; Hilborn, R</t>
  </si>
  <si>
    <t>Catastrophic events and recovery from low densities in populations of otariids: implications for risk of extinction</t>
  </si>
  <si>
    <t>MAMMAL REVIEW</t>
  </si>
  <si>
    <t>catastrophes; otariids; population viability; population rate of increase; population decline; depensation; exploitation</t>
  </si>
  <si>
    <t>ANTARCTIC FUR SEALS; ARCTOCEPHALUS-GAZELLA; SOUTH GEORGIA; VIABILITY ANALYSIS; WESTERN-AUSTRALIA; BIRD-ISLAND; FISH STOCKS; DYNAMICS; LIONS; CONSERVATION</t>
  </si>
  <si>
    <t>Two key factors in a population's risk of extinction are major population declines induced by natural or anthropogenic events (catastrophes) and whether the population's rate of growth increases or decreases at very low abundance levels. These two elements should be included in any population viability analysis (PVA), but estimates of the frequency and intensity of catastrophic events and data on the dynamics of low population densities are difficult to obtain. We examined the literature on population dynamics of otariids (fur seals and sea lions), to determine how frequently populations are subjected to major population declines, and to what extent depleted populations recover from low population size. We present frequency distributions for percentage declines for otariid life-stages (pup, juvenile, adult female and male), and describe eight examples of events leading to a population decline of 50% or greater among otariids. We found that numerous otariid populations have been reduced to very low densities by exploitation (low enough to be thought extinct) and have recovered to levels where they are no longer at risk of extinction. This suggests that the reduction in population rate of increase at low densities in otariid populations may not be strong.</t>
  </si>
  <si>
    <t>Univ Calif Santa Barbara, Natl Ctr Ecol Anal &amp; Synth, Santa Barbara, CA 93101 USA; Univ Washington, Sch Fisheries, Seattle, WA 98195 USA</t>
  </si>
  <si>
    <t>University of California System; University of California Santa Barbara; National Center for Ecological Analysis &amp; Synthesis; University of Washington; University of Washington Seattle</t>
  </si>
  <si>
    <t>Gerber, LR (corresponding author), Univ Calif Santa Barbara, Natl Ctr Ecol Anal &amp; Synth, 735 State St,Ste 300, Santa Barbara, CA 93101 USA.</t>
  </si>
  <si>
    <t>Hilborn, Ray W/D-6332-2013</t>
  </si>
  <si>
    <t>Gerber, Leah/0000-0002-6763-6842</t>
  </si>
  <si>
    <t>0305-1838</t>
  </si>
  <si>
    <t>MAMMAL REV</t>
  </si>
  <si>
    <t>Mammal Rev.</t>
  </si>
  <si>
    <t>10.1046/j.1365-2907.2001.00081.x</t>
  </si>
  <si>
    <t>452TX</t>
  </si>
  <si>
    <t>WOS:000169876500002</t>
  </si>
  <si>
    <t>Igarashi, A; Numanami, H; Tsuchiya, Y; Fukuchi, M</t>
  </si>
  <si>
    <t>Bathymetric distribution of fossil foraminifera within marine sediment cores from the eastern part of Lutzow-Holm Bay, East Antarctica, and its paleoceanographic implications</t>
  </si>
  <si>
    <t>Antarctica; submarine sediments; radiocarbon age; foraminifera; paleoceanography</t>
  </si>
  <si>
    <t>POLAR FRONT REGION; RECENT BENTHIC FORAMINIFERA; WEDDELL SEA; ICE-SHEET; ROSS-SEA; ECOLOGY; RADIOCARBON; PENINSULA; ASSEMBLAGES; DISSOLUTION</t>
  </si>
  <si>
    <t>Faunal analysis of fossil foraminifera from marine gravity and piston cores collected by the Japanese Antarctic Research Expeditions (1981 and 1992) is used to estimate the impact of the latest Quaternary paleoceanography on coastal environments of the eastern part of Lutzow-Holm Bay, East Antarctica. Accelerator Mass Spectrometry (AMS) carbon-14 ages produced from sedimentary organic carbon were less than 16 ka (non-corrected). Detailed correlation among submarine cores and Holocene elevated marine deposits exposed on the eastern shore of the embayment is difficult due to the indefinite reservoir correction value for marine organic matter and to upward-increasing abnormal ages for some cores. A local carbonate dissolution level can be delineated around the present depth of 300-400 m or shallower in the eastern parr of Lutzow-Holm Bay during the Holocene, based on distributional trends of arenaceous, calcareous benthic, and planktonic foraminifera recognized within a depth less than 600 m. Downcore recovery of calcareous foraminifera containing Bulimina aculeata from two cores obtained in a drowned glacial trough deeper than 600 m situated far beyond the dissolution depth of CaCO3 indicates the incursion of warm, high-nutrient, and CaCO3-saturated Circumpolar Deep Water (CDW) from the offshore area along the trough toward the southeastern coast of Lutzow-Holm Bay during the Holocene. The intrusion of CDW impacted on the marine environments of the southeastern coast, thereby contributing to peripheral retreat of the ice sheet as well as increasing calcareous benthic foraminiferal productivity along the southeastern coast of Lutzow-Holm Bay. (C) 2001 Elsevier Science B.V. All rights reserved.</t>
  </si>
  <si>
    <t>Natl Inst Polar Res, Itabashi Ku, 9-10,Kaga 1 Chome, Tokyo 1738515, Japan; Tokyo Kasei Gakuin Univ, Biol Lab, Machida, Tokyo 1940211, Japan; Univ Tsukuba, Shimoda Marine Res Ctr, Shizuoka 4150001, Japan</t>
  </si>
  <si>
    <t>Research Organization of Information &amp; Systems (ROIS); National Institute of Polar Research (NIPR) - Japan; University of Tsukuba</t>
  </si>
  <si>
    <t>Natl Inst Polar Res, Itabashi Ku, 9-10,Kaga 1 Chome, Tokyo 1738515, Japan.</t>
  </si>
  <si>
    <t>aigarasi@nipr.ac.jp</t>
  </si>
  <si>
    <t>1872-6186</t>
  </si>
  <si>
    <t>10.1016/S0377-8398(01)00004-4</t>
  </si>
  <si>
    <t>450MV</t>
  </si>
  <si>
    <t>WOS:000169748500002</t>
  </si>
  <si>
    <t>Keeling, RF; Stephens, BB</t>
  </si>
  <si>
    <t>Antarctic sea ice and the control of Pleistocene climate instability (vol 16, pg 112, 2001)</t>
  </si>
  <si>
    <t>OCEAN THERMOHALINE CIRCULATION; NORTH-ATLANTIC; WATER CIRCULATION; SOUTH-ATLANTIC; POLAR FRONT; DEEP; INTERMEDIATE; HEMISPHERE; GREENLAND; CO2</t>
  </si>
  <si>
    <t>Univ Calif San Diego, Scripps Inst Oceanog, La Jolla, CA 92093 USA; Univ Colorado, Cooperat Inst Res Environm Sci, Boulder, CO 80309 USA</t>
  </si>
  <si>
    <t>University of California System; University of California San Diego; Scripps Institution of Oceanography; University of Colorado System; University of Colorado Boulder</t>
  </si>
  <si>
    <t>Univ Calif San Diego, Scripps Inst Oceanog, La Jolla, CA 92093 USA.</t>
  </si>
  <si>
    <t>rkeeling@ucsd.edu; britt@cmdl.noaa.gov</t>
  </si>
  <si>
    <t>Stephens, Britton B/B-7962-2008</t>
  </si>
  <si>
    <t>Stephens, Britton B/0000-0002-1966-6182</t>
  </si>
  <si>
    <t>10.1029/2001PA000648</t>
  </si>
  <si>
    <t>438QG</t>
  </si>
  <si>
    <t>WOS:000169064100009</t>
  </si>
  <si>
    <t>Viswanathan, GM; Afanasyev, V; Buldyrev, SV; Havlin, S; da Luz, MGE; Raposo, EP; Stanley, HE</t>
  </si>
  <si>
    <t>Levy fights search patterns of biological organisms</t>
  </si>
  <si>
    <t>PHYSICA A</t>
  </si>
  <si>
    <t>IUPAP International Conference on New Trends in the Fractal Aspects of Complex Systems</t>
  </si>
  <si>
    <t>OCT 16-20, 2000</t>
  </si>
  <si>
    <t>FED UNIV ALAGOAS, MACEIO AL, BRAZIL</t>
  </si>
  <si>
    <t>FED UNIV ALAGOAS</t>
  </si>
  <si>
    <t>Levy flights; biological foraging</t>
  </si>
  <si>
    <t>CHEMOSENSORY RESPONSES; BEHAVIOR; MOVEMENT</t>
  </si>
  <si>
    <t>We discuss recent findings suggesting that an inverse square probability density distribution P(l)similar tol(-2) of step lengths l leads to an optimal random search strategy for organisms that can search efficiently for randomly located objects that can only be detected in the limited vicinity of the searcher and can be revisited any number of times. We explore the extent to which these findings may be dependent on the dimensionality of the search space and the presence of short-range correlations in the step lengths and directions. (C) 2001 Elsevier Science B.V, All rights reserved.</t>
  </si>
  <si>
    <t>Univ Fed Alagoas, Dept Fis, BR-57075970 Maceio, AL, Brazil; Univ Fed Pernambuco, Dept Fis, Lab Fis Teor &amp; Computac, BR-50670901 Recife, PE, Brazil; Univ Fed Parana, Dept Fis, BR-81531990 Curitiba, Parana, Brazil; Bar Ilan Univ, Dept Phys, Ramat Gan, Israel; Gonda Goldschmied Ctr, Ramat Gan, Israel; Boston Univ, Dept Phys, Boston, MA 02215 USA; Boston Univ, Ctr Polymer Studies, Boston, MA 02215 USA; British Antarctic Survey, NERC, Cambridge CB3 0ET, England</t>
  </si>
  <si>
    <t>Universidade Federal de Alagoas; Universidade Federal de Pernambuco; Universidade Federal do Parana; Bar Ilan University; Boston University; Boston University; UK Research &amp; Innovation (UKRI); Natural Environment Research Council (NERC); NERC British Antarctic Survey</t>
  </si>
  <si>
    <t>Viswanathan, GM (corresponding author), Univ Fed Alagoas, Dept Fis, BR-57075970 Maceio, AL, Brazil.</t>
  </si>
  <si>
    <t>Raposo, Ernesto P./ABA-7215-2020; Havlin, Shlomo/ABF-1527-2020; Buldyrev, Sergey V/I-3933-2015; Viswanathan, Gandhimohan M/J-8558-2012; gomes eleuterio da luz, marcos/H-7835-2012; Raposo, Ernesto P/N-2786-2017; Viswanathan, Gandhimohan/AAF-3937-2020</t>
  </si>
  <si>
    <t>Raposo, Ernesto P./0000-0002-4178-8266; gomes eleuterio da luz, marcos/0000-0003-3865-2621; Raposo, Ernesto P/0000-0002-3595-4352; Buldyrev, Sergey/0000-0002-3008-1070; Viswanathan, Gandhimohan/0000-0002-2301-5593</t>
  </si>
  <si>
    <t>0378-4371</t>
  </si>
  <si>
    <t>Physica A</t>
  </si>
  <si>
    <t>10.1016/S0378-4371(01)00057-7</t>
  </si>
  <si>
    <t>443YX</t>
  </si>
  <si>
    <t>WOS:000169372100015</t>
  </si>
  <si>
    <t>Rozema, J; Noordijk, AJ; Broekman, RA; van Beem, A; Meijkamp, BM; de Bakker, NVJ; van de Staaij, JWM; Stroetenga, M; Bohncke, SJP; Konert, M; Kars, S; Peat, H; Smith, RIL; Convey, P</t>
  </si>
  <si>
    <t>(Poly)phenolic compounds in pollen and spores of Antarctic plants as indicators of solar UV-B - A new proxy for the reconstruction of past solar UV-B?</t>
  </si>
  <si>
    <t>PLANT ECOLOGY</t>
  </si>
  <si>
    <t>Antarctic; bio-indicator; Colobanthus quitensis; Deschampsia antarctica; historic UV-B radiation; pollen; polyphenolics; proxy; sporopollenin; stratospheric ozone depletion</t>
  </si>
  <si>
    <t>ULTRAVIOLET-RADIATION; STRATOSPHERIC OZONE; VASCULAR PLANTS; TISSUE LOCALIZATION; EARLY EVOLUTION; HISTORY; GROWTH; SPOROPOLLENIN; REPRODUCTION; ORIGIN</t>
  </si>
  <si>
    <t>The morphology, size and characteristics of the pollen of the plant species Antarctic hairgrass (Deschampsia antarctica, Poaceae) and Antarctic pearlwort (Colobanthus quitensis, Caryophyllaceae) are described by scanning electron microscopy and light microscopy. Based on the number of pores the pollen of Colobanthus quitensis is classified as periporate or polypantorate, while that of Deschampsia antarctica is monoporate. Pollen of Vicia faba plants, exposed to enhanced UV-B (10.6 kJ m(-2) day(-)1 UV-B-BE) in a greenhouse, showed an increased content of UV-B absorbing compounds. There was also an increase of UV-B absorbing compounds in response to exposure to UV-A. By sequential chemical extraction three `compartments' of UV-B absorbance of pollen can be distinguished: a cytoplasmic fraction consisting of, e.g., flavonoids (acid-methanol extractable), a wall-bound fraction, consisting of, e.g., ferulic acid (NaOH extractable) and aromatic groups in the bioresistant polymer sporopollenin possibly consisting of, e.g., para-coumaric acid monomers (fraction remaining after acetolysis). The sporopollenin fraction in the pollen of Helleborus foetidus showed considerable UV-B absorbance (280-320 nm). There is evidence that enhanced solar UV-B induces increased UV-B absorbance (of sporopollenin) in pollen and spores of mosses, which may be preserved in the fossil record. As there are no instrumental records of solar UV-B in the Antarctic before 1970 and no instrumental records of stratospheric ozone over the Antarctic before 1957, the use of UV-B absorbing polyphenolics in pollen (and spores) as bio-indicator, or proxy of solar UV-B, may allow reconstruction of pre-ozone hole and subrecent UV-B and stratospheric ozone levels. Pollen and spores from herbarium specimens and from frozen moss banks (about 5000-10 000 years old) in the Antarctic may, therefore, represent a valuable archive of historical UV-B levels.</t>
  </si>
  <si>
    <t>Free Univ Amsterdam, Dept Syst Ecol, NL-1081 HV Amsterdam, Netherlands; Dept Quaternary Geol &amp; Geomorphol, NL-1081 HV Amsterdam, Netherlands; British Antarctic Survey, Nat Environm Res Council, Cambridge CB3 OET, England</t>
  </si>
  <si>
    <t>Vrije Universiteit Amsterdam; UK Research &amp; Innovation (UKRI); Natural Environment Research Council (NERC); NERC British Antarctic Survey</t>
  </si>
  <si>
    <t>Free Univ Amsterdam, Dept Syst Ecol, De Boelelaan 1087, NL-1081 HV Amsterdam, Netherlands.</t>
  </si>
  <si>
    <t>jrozema@bio.vu.nl</t>
  </si>
  <si>
    <t>Peat, Helen J/E-9666-2015; Convey, Peter/AAV-5728-2020</t>
  </si>
  <si>
    <t>Convey, Peter/0000-0001-8497-9903; Broekman, Rob/0000-0001-9430-3245; Peat, Helen/0000-0003-2017-8597</t>
  </si>
  <si>
    <t>1385-0237</t>
  </si>
  <si>
    <t>1573-5052</t>
  </si>
  <si>
    <t>PLANT ECOL</t>
  </si>
  <si>
    <t>Plant Ecol.</t>
  </si>
  <si>
    <t>10.1023/A:1012913608353</t>
  </si>
  <si>
    <t>Plant Sciences; Ecology; Forestry</t>
  </si>
  <si>
    <t>Plant Sciences; Environmental Sciences &amp; Ecology; Forestry</t>
  </si>
  <si>
    <t>496FB</t>
  </si>
  <si>
    <t>WOS:000172384600002</t>
  </si>
  <si>
    <t>Huiskes, AHL; Lud, D; Moerdijk-Poortvliet, TCW</t>
  </si>
  <si>
    <t>Field research on the effects of UV-B filters on terrestrial Antarctic vegetation</t>
  </si>
  <si>
    <t>alga; Antarctica; grass; lichen; moss; ozone depletion; photosynthetic efficiency; UV-B filters; UV-B radiation; UV-B supplementation</t>
  </si>
  <si>
    <t>ULTRAVIOLET-B; CHLOROPHYLL FLUORESCENCE; ACTIVE RADIATION; BEAN-PLANTS; GROWTH; PHOTOSYNTHESIS; IRRADIANCES; OZONE</t>
  </si>
  <si>
    <t>Patches of vegetation of six common species growing on Leonie Island (67 degrees 35' S, 68 degrees 20' W), Antarctic Peninsula region were covered with either UV-B transparent perspex screens or UV-B absorbing screens. Uncovered plots served as a control. Temperature and relative humidity were monitored during the austral summer under and outside the screens. The mean effective PSII quantum efficiency showed significant differences among the species, but not between the UV-B treatments. It was concluded that the temperature and the moisture status of the vegetation obscured any possible influence of UV-B treatment on the tteffective PSII quantum efficiency. he usefulness of various UV-B exclusion and supplementation methods used to study the influence of UV-B in the field is discussed.</t>
  </si>
  <si>
    <t>Netherlands Inst Ecol, Ctr Estuarine &amp; Coastal Ecol, NL-4400 AC Yerseke, Netherlands</t>
  </si>
  <si>
    <t>Royal Netherlands Academy of Arts &amp; Sciences; Netherlands Institute of Ecology (NIOO-KNAW)</t>
  </si>
  <si>
    <t>Huiskes, AHL (corresponding author), Netherlands Inst Ecol, Ctr Estuarine &amp; Coastal Ecol, POB 140, NL-4400 AC Yerseke, Netherlands.</t>
  </si>
  <si>
    <t>Huiskes, Ad/C-3252-2011</t>
  </si>
  <si>
    <t>10.1023/A:1012923307870</t>
  </si>
  <si>
    <t>WOS:000172384600008</t>
  </si>
  <si>
    <t>Lud, D; Huiskes, AHL; Moerdijk, TCW; Rozema, J</t>
  </si>
  <si>
    <t>The effects of altered levels of UV-B radiation on an Antarctic grass and lichen</t>
  </si>
  <si>
    <t>Antarctica; carotenoids; Deschampsia antarctica; photosynthesis; Turgidosculum complicatulum; UV-B radiation; UV-B supplementation</t>
  </si>
  <si>
    <t>ULTRAVIOLET-RADIATION; VASCULAR PLANTS; UMBILICARIA-AMERICANA; ARGENTINE ISLANDS; PHOTOSYSTEM-II; GROWTH; PHOTOSYNTHESIS; TERRESTRIAL; PENINSULA; OZONE</t>
  </si>
  <si>
    <t>We report a long-term experiment on the photosynthetic response of natural vegetation of Deschampsia antarctica (Poaceae) and Turgidosculum complicatulum (Lichenes) to altered UV-B levels on Leonie Island, Antarctica. UV-B above the vegetation was reduced by filter screens during two seasons. Half of the screens were transparent to UV-A and UV-B (ambient treatment) or absorbing UV-B and part of the UV-A (below-ambient treatment). Half of the wedge- shaped filters had side walls leading to an enhancement of the daily mean temperature in summer by 2-4 degreesC, simulating rising mean air temperature on the Antarctic Peninsula. The other half of the filters were without side walls resulting in close-to-ambient temperature underneath. Plots without filters served as controls. UV-B supplementation of an extra 1.3 kJ UV-B(BE) was achieved using UV-mini-lamp systems during 15 days in the second season. We found no evidence that altered incident UV-B levels and temperature had an effect on maximum photosystem II efficiency (F(v)/F(m)) and effective photosystem II efficiency (DeltaF/F(m)') in both species. UV-B reduction did not influence contents of chlorophyll, carotenoids and methanol-soluble UV absorbing compounds in D. antarctica. Flowering shoot length of D. antarctica was not affected by UV-B reduction. Temperature enhancement tended to result in longer inflorescence axes. Results of two austral summer seasons of UV- reduction in natural stands of D. antarctica and T. complicatulum suggest that current ambient levels of UV-B do not have a direct effect on the photosynthetic performance and pigment contents of these species. Cumulative effects on growth have not been recorded after two years but can not be excluded on a longer term.</t>
  </si>
  <si>
    <t>Netherlands Inst Ecol, Ctr Estuarine &amp; Coastal Ecol, NL-4400 AC Yerseke, Netherlands; Vrije Univ Amsterdam, Fac Biol, Dept Syst Ecol, NL-1081 HV Amsterdam, Netherlands</t>
  </si>
  <si>
    <t>Royal Netherlands Academy of Arts &amp; Sciences; Netherlands Institute of Ecology (NIOO-KNAW); Vrije Universiteit Amsterdam</t>
  </si>
  <si>
    <t>Lud, D (corresponding author), Netherlands Inst Ecol, Ctr Estuarine &amp; Coastal Ecol, POB 140, NL-4400 AC Yerseke, Netherlands.</t>
  </si>
  <si>
    <t>Lud, Daniela/0000-0003-2306-5416</t>
  </si>
  <si>
    <t>10.1023/A:1012987728343</t>
  </si>
  <si>
    <t>WOS:000172384600009</t>
  </si>
  <si>
    <t>Rozema, J; Broekman, R; Lud, D; Huiskes, AHJ; Moerdijk, T; de Bakker, N; Meijkamp, B; van Beem, A</t>
  </si>
  <si>
    <t>Consequences of depletion of stratospheric ozone for terrestrial Antarctic ecosystems:: the response of Deschampsia antarctica to enhanced UV-B radiation in a controlled environment</t>
  </si>
  <si>
    <t>Antarctica; climate change; Deschampsia antarctica; ecosystem; ozone depletion; UV-B; UV-B supplementation</t>
  </si>
  <si>
    <t>SOLAR ULTRAVIOLET-RADIATION; VASCULAR PLANTS; CO2 CONCENTRATION; DNA-DAMAGE; GROWTH; PHOTOSYNTHESIS; REPRODUCTION; PHYTOPLANKTON; TEMPERATURE; PIGMENTS</t>
  </si>
  <si>
    <t>Mini UV lamps were installed over antarctic plants at Leonie Island, Antarctic peninsula, and shoot length measurements of Deschampsia antarctica were performed during the austral summer January-February 1999. We studied the response of the antarctic hairgrass, Deschampsia antarctica to enhanced UV-B. In a climate room experiment we exposed tillers of Deschampsia antarctica, collected at Leonie Island, Antarctic peninsula, to ambient and enhanced levels of UV-B radiation. In this climate room experiment with 0, 2.5 and 5 kJ m(-2) day(-1) UV-B-BE treatments we observed that length growth of shoots at 2.5 and 5 kJ m(-2) day(-1) UV-B-BE was markedly reduced compared to 0 kJ m(-2) day(-1) UV-B-BE. In addition, there was an increased number of shoots and increased leaf thickness with enhanced UV-B. The Relative Growth Rate (RGR) was not affected by UV-B, possibly because reduced shoot length growth by enhanced UV-B was compensated by increased tillering. Light response curves of net leaf photosynthesis of plants exposed to 5 kJ m(-2) day(-)1 UV-BBE did not differ from those exposed to 0 kJ m(-)2 day(-1) UV-B-BE. The content of UV-B absorbing compounds of plants exposed to increasing UV-B did not significantly change. Mini UV-B lamp systems were installed in the field, to expose the terrestrial antarctic vegetation at Leonie Island to enhanced solar UV-B. In that study, the increment of shoot length of tagged plants of Deschampsia antarctica during the January-February 1999 at Leonie Island, was recorded and compared to shoot length growth under controlled conditions. The consequences of enhanced UV-B radiation as a result of ozone depletion for the terrestrial antarctic ecosytems are discussed.</t>
  </si>
  <si>
    <t>Vrije Univ Amsterdam, Fac Biol, Dept Syst Ecol, NL-1081 HV Amsterdam, Netherlands; NIOO KNAW CEMO, Yerseke, Netherlands</t>
  </si>
  <si>
    <t>Vrije Universiteit Amsterdam; Royal Netherlands Academy of Arts &amp; Sciences; Netherlands Institute of Ecology (NIOO-KNAW)</t>
  </si>
  <si>
    <t>Rozema, J (corresponding author), Vrije Univ Amsterdam, Fac Biol, Dept Syst Ecol, De Boelelaan 1087, NL-1081 HV Amsterdam, Netherlands.</t>
  </si>
  <si>
    <t>Broekman, Rob/0000-0001-9430-3245</t>
  </si>
  <si>
    <t>10.1023/A:1012956230160</t>
  </si>
  <si>
    <t>WOS:000172384600010</t>
  </si>
  <si>
    <t>Voronina, NM; Kolosova, EG; Melnikov, IA</t>
  </si>
  <si>
    <t>Zooplankton life under the perennial Antarctic Sea ice</t>
  </si>
  <si>
    <t>CALANUS-PROPINQUUS COPEPODA; WESTERN WEDDELL SEA; MCMURDO SOUND; CALANOIDES-ACUTUS; ABUNDANCE; COMMUNITY</t>
  </si>
  <si>
    <t>Zooplankton was collected during the drift on the USA-Russia Ice Station Weddell 1 in the western Weddell Sea. Stratified tows up to 1,000 m depths were performed under perennial ice at a distance of ca. 300 km from the marginal ice zone from March to May 1992. Seasonal abundance, developmental stage composition and vertical distribution in populations of large dominant calanoid copepod species were studied. The abundance of Calanoides acutus changed inconspicuously and averaged 1,260 ind. m(-2); its developmental stage composition was characterised by the dominance of copepodites V (CV) and hardly changed in the course of observations. Calanus propinquus was at most stations in fairly low abundance and was represented by CV and adults; at the latest stations, it was not found. Rhincalanus gigas was also scarce; III-IV stages were present, but the first of them only at the southernmost stations. In contrast to this species, in the relatively abundant population of Metridia gerlachei (1,370 ind. m(-2) on average), a new generation was observed. There m was a clear deepening of the median depth of occurrence of the above three species from March to early May, while in late May a shifting to upper layers was observed which remained unexplained. The data obtained were compared to the data collected in the ice-open eastern part of the Weddell Sea in the corresponding season. It can be seen that the differences in populations dynamics of the four species under the perennial ice depends on their trophic mode, i.e. capability to store lipid reserves in summer and/or to feed in winter, and with food spectra.</t>
  </si>
  <si>
    <t>P P Shirshov Inst Oceanog, Moscow 117997, Russia; Moscow MV Lomonosov State Univ, Moscow 117234, Russia</t>
  </si>
  <si>
    <t>Russian Academy of Sciences; Shirshov Institute of Oceanology; Lomonosov Moscow State University</t>
  </si>
  <si>
    <t>Voronina, NM (corresponding author), P P Shirshov Inst Oceanog, Nakhimovsky Prospect 36, Moscow 117997, Russia.</t>
  </si>
  <si>
    <t>441CW</t>
  </si>
  <si>
    <t>WOS:000169214300003</t>
  </si>
  <si>
    <t>Kidawa, A</t>
  </si>
  <si>
    <t>Antarctic starfish, Odontaster validus, distinguish between fed and starved conspecifics</t>
  </si>
  <si>
    <t>ASTERIAS-FORBESI; BEHAVIOR</t>
  </si>
  <si>
    <t>Experiments were carried out to study the behavioural responses of the Antarctic omnivorous starfish Odontaster validus to the chemical signals produced by undamaged conspecifics. Tested starved animals displayed the ability to distinguish between fed and starved conspecifics. Effluents of starved conspecifics were mostly ignored by O. validus, although they showed a strong and complex reaction to the smell of fed ones. This combination of responses may be expected both to decrease the risk of cannibalism in the feeding aggregations typical for O. validus, and to increase foraging efficiency by stimulating the searching behaviour in animals exposed to satiated conspecifics.</t>
  </si>
  <si>
    <t>PAS, Dept Antarct Biol, Warsaw, Poland</t>
  </si>
  <si>
    <t>Polish Academy of Sciences</t>
  </si>
  <si>
    <t>Kidawa, A (corresponding author), PAS, Dept Antarct Biol, Warsaw, Poland.</t>
  </si>
  <si>
    <t>Ross, Donald J/F-7607-2012</t>
  </si>
  <si>
    <t>10.1007/s003000100229</t>
  </si>
  <si>
    <t>WOS:000169214300004</t>
  </si>
  <si>
    <t>Baldacci, A; Taddei, AR; Mazzini, M; Fausto, AM; Buonocore, F; Scapigliati, G</t>
  </si>
  <si>
    <t>Ultrastructure and proteins of the egg chorion of the antarctic fish Chionodraco hamatus (Teleostei, Notothenioidei)</t>
  </si>
  <si>
    <t>ENVELOPE PROTEINS; SURFACE-STRUCTURE; SEA; IDENTIFICATION; REPRODUCTION; PRECURSORS</t>
  </si>
  <si>
    <t>The chorion morphology and protein content of unfertilised eggs of the antarctic icefish Chionodraco hamatus were characterised. Scanning and transmission electron microscopy showed that the chorion of this antarctic species is organised differently from that of non-polar species, with several concentric layers varying in thickness. Purified chorions were dissolved in 8-M urea buffer, and polypeptides were revealed by one- and two-dimensional gel electrophoresis. Glycoproteins were detected using affinity blotting with concanavalin-A. The principal glycoproteins had a molecular weight of 49 and 93 kDa. Purification of the main polypeptides between 40 and 92 kDa was achieved by preparative electrophoresis followed by electroelution of excised bands. The main biochemical composition of C. hamatus chorion was similar to that of other teleost species investigated.</t>
  </si>
  <si>
    <t>Univ Tuscia, Dipartimento Sci Ambientali, I-01100 Viterbo, Italy</t>
  </si>
  <si>
    <t>Tuscia University</t>
  </si>
  <si>
    <t>Univ Tuscia, Dipartimento Sci Ambientali, I-01100 Viterbo, Italy.</t>
  </si>
  <si>
    <t>scapigg@unitus.it</t>
  </si>
  <si>
    <t>Buonocore, Francesco/AAA-5236-2020; Fausto, Anna Maria/AAB-6778-2020</t>
  </si>
  <si>
    <t>FAUSTO, Anna Maria/0000-0001-5800-7473; Buonocore, Francesco/0000-0001-8045-5651</t>
  </si>
  <si>
    <t>WOS:000169214300006</t>
  </si>
  <si>
    <t>Masini, MA; Sturla, M; Prato, P; Uva, B</t>
  </si>
  <si>
    <t>Ion transport systems in the kidney and urinary bladder of two Antarctic teleosts, Chionodraco hamatus and Trematomus bernacchii</t>
  </si>
  <si>
    <t>RENAL PROXIMAL TUBULES; PSEUDOPLEURONECTES-AMERICANUS; NA+/K+-ATPASE; FISHES; GILL; IMMUNOLOCALIZATION; SECRETION; WATER</t>
  </si>
  <si>
    <t>Na+-K+-Cl- cotransport and Na+/K(+)AT-Pase were studied by immunohistochemistry in the kidney and urinary bladder of Trematomus bernacchii and Chionodraco hamatus. The activity was correlated to the density of mitochondria. The first segment of the renal proximal tubule was more active than the second one. In T. bernacchii and the temperate marine teleost Pagellus bogaraveo, the immunoreactivity for the antibody to cotransporters and to the a-subunit of the sodium pump was stronger than in the icefish. This difference indicates in the kidney of the icefish, a weaker secretory activity, a consequent lower osmolarity in the lumen and lower water loss, which correlates well with the need for a greater blood volume in the icefish. The epithelium of the urinary bladder in T. bernacchii, when intense immunostaining was observed, was composed of columnar cells. In C. hamatus the columnar cells. where the immunostaining was weaker, lined only a portion of the urinary bladder, the other region being composed of cuboidal cells.</t>
  </si>
  <si>
    <t>Univ Genoa, Dipartimento Biol Sperimentale Ambientale &amp; Appli, I-16132 Genoa, Italy</t>
  </si>
  <si>
    <t>Masini, MA (corresponding author), Univ Genoa, Dipartimento Biol Sperimentale Ambientale &amp; Appli, Viale Benedetto XV 5, I-16132 Genoa, Italy.</t>
  </si>
  <si>
    <t>masini@unige.it</t>
  </si>
  <si>
    <t>WOS:000169214300009</t>
  </si>
  <si>
    <t>Barnes, DKA; Arnold, R</t>
  </si>
  <si>
    <t>Competition, sub lethal mortality and diversity on Southern Ocean coastal rock communities</t>
  </si>
  <si>
    <t>BENTHIC COMMUNITY; ASSEMBLAGE; OVERGROWTH; INTRANSITIVITY; INVERTEBRATES; COLONIZATION; ANTARCTICA; SUBSTRATA; BRYOZOANS; ORGANISMS</t>
  </si>
  <si>
    <t>Overgrowth competition, sub-lethal mortality (some zooids killed but colony survives) and subsequent growth from fragments, and diversity of communities encrusting rocks (pebble through to boulder size) were examined from five Antarctic localities, along a latitudinal gradient. There were distinct gradients in the ecology of both assemblages and individual species with latitude within the Southern Ocean. Compared with warm-water equivalents, the polar assemblages had many fewer species, considerably less variability in species richness, highly transitive interactions and lower incidences of interspecific encounters. There is no gradual transition but a dramatic alteration of assemblage and species level ecology around the margins of the Southern Ocean, which may primarily be due to ice scour. Sub-lethal mortality was common and peaked on different boulder sizes along the Antarctic Peninsula. This is indicative of the disturbance dine along the region.</t>
  </si>
  <si>
    <t>Natl Univ Ireland Univ Coll Cork, Dept Zool &amp; Anim Ecol, Cork, Ireland; British Antarctic Survey, Cambridge CB3 0ET, England</t>
  </si>
  <si>
    <t>Barnes, DKA (corresponding author), Natl Univ Ireland Univ Coll Cork, Dept Zool &amp; Anim Ecol, Lee Maltings, Cork, Ireland.</t>
  </si>
  <si>
    <t>10.1007/s003000100240</t>
  </si>
  <si>
    <t>WOS:000169214300010</t>
  </si>
  <si>
    <t>Smith, VR; Gremmen, NJM</t>
  </si>
  <si>
    <t>Turgidosculum complicatulum on sub-Antarctic Marion Island:: carbon acquisition response to climate change</t>
  </si>
  <si>
    <t>MICE</t>
  </si>
  <si>
    <t>The lichen Turgidosculum complicatulum (formerly Mastodia tesselata) occurs in the shore-zone of Marion Island (sub-Antarctic: 47 degreesS,38 degreesE). Net CO2 exchange in the lichen is dominated by a strong temperature-dependence of respiration rate. The light/temperature response of photosynthesis is such that under the prevailing climatic regime on the island the lichen, if sufficiently hydrated, would exhibit near-maximal photosynthesis rates for 75% of the photoperiod over the year. A photosynthetic response model predicts that the lichen's net annual carbon acquisition is 3.1 g C g(-1) year(-1) under the current solar radiation and temperature regime at the island. The model predicts that changes in temperature and radiation by the amounts known to have occurred in the past few decades, and even greater changes (temperature increase by up to 2 degreesC, radiation by up to 10%), would negligibly affect the annual amount of carbon acquired provided the thalli remain hydrated. Incorporating hydration/desiccation cycles into the model resulted in a substantial lowering of annual net C exchange. However, attempts to include the increase in aridity known to have occurred at the island since 1971 gave conflicting scenarios for the effect on annual C acquisition, depending on whether atmospheric drying or thallus drying was considered.</t>
  </si>
  <si>
    <t>Univ Stellenbosch, Dept Bot, ZA-7602 Matieland, South Africa; Data Anal Ecol, NL-7981 AP Diever, Netherlands</t>
  </si>
  <si>
    <t>Univ Stellenbosch, Dept Bot, Private Bag 11, ZA-7602 Matieland, South Africa.</t>
  </si>
  <si>
    <t>vs2@land.suh.ac.za</t>
  </si>
  <si>
    <t>WOS:000169214300011</t>
  </si>
  <si>
    <t>Torsvik, TH; Carter, LM; Ashwal, LD; Bhushan, SK; Pandit, MK; Jamtveit, B</t>
  </si>
  <si>
    <t>Rodinia refined or obscured: palaeomagnetism of the Malani igneous suite (NW India)</t>
  </si>
  <si>
    <t>PRECAMBRIAN RESEARCH</t>
  </si>
  <si>
    <t>Rodinia; Neoproterozoic; Malani igneous suite; India; palaeomagnetism; palaeogeography</t>
  </si>
  <si>
    <t>SOUTH-AUSTRALIA; PRECAMBRIAN PALEOMAGNETISM; CENTRAL MADAGASCAR; WESTERN-AUSTRALIA; LOW PALEOLATITUDE; THERMAL EVENT; RB-SR; LAURENTIA; MA; RAJASTHAN</t>
  </si>
  <si>
    <t>New palaeomagnetic data from the Neoproterozoic felsic volcanic rocks of the Malani igneous suite (MIS) in NW India, combined with data from an earlier study, yield a palaeomagnetic pole with latitude = 74.5 degreesN, longitude = 71.2 degreesE (dp/dm = 7.4/9.7 degrees). A statistically positive fold test and remanences carried by typical high-temperature oxidation (deuteric) minerals support a primary magnetic signature. U/Pb ages from MIS (771-751 Ma) overlap with those for granitoids and dolerite dykes from the Seychelles microcontinent (mainly 748-755 Ma), and palaeomagnetic data for both entities can be matched with a tight reconstruction fit (Seychelles --&gt; India: Euler latitude = 25.8 degreesN, longitude = 330 degreesE, rotation angle = 28 degrees). In this Neoproterozoic time interval, MIS and the Seychelles must have been located at intermediate northerly latitudes along the western margin of Rodinia, with magmatism that probably originated in a continental are. The most reliable, dated palaeomagnetic data (+/- 756 Ma) from MIS, Seychelles and Australia require a crucial reappraisal of the timing and plate dynamics of Rodinia break-up and Gondwana assemblage. These new data necessitate an entirely different fit of East Gondwana elements than previously proposed, and also call to question the validity of the Southwest US-East Antarctic and Australia-Southwest US models. The palaeomagnetic data mandate that Greater India was located west of Australia rather than forming a conjugate margin with East Antarctica in the hlid-Neoptroterozoic. Break-up of Rodinia along western Laurentia may therefore have taken place along two major Neoproterozoic rifts: one leading to separation of Laurentia and Australia-East Antarctica, and the second between Australia and India. (C) 2001 Elsevier Science B.V. Ah rights reserved.</t>
  </si>
  <si>
    <t>Univ Lund, Dept Geol, S-222333 Lund, Sweden; Rand Afrikaans Univ, Dept Geol, ZA-2006 Auckland Pk, South Africa; Geol Survey India, Jaipur 302004, Rajasthan, India; Univ Rajasthan, Dept Geol, Jaipur 302004, Rajasthan, India; Univ Oslo, Dept Geol, N-0316 Oslo, Norway</t>
  </si>
  <si>
    <t>Lund University; University of Johannesburg; Geological Survey India; University of Rajasthan; University of Oslo</t>
  </si>
  <si>
    <t>Torsvik, TH (corresponding author), VISTA, NGU, Leif Eirikssons Vei 39, N-7491 Trondheim, Norway.</t>
  </si>
  <si>
    <t>Jamtveit, Bjorn/0000-0001-5700-1803</t>
  </si>
  <si>
    <t>0301-9268</t>
  </si>
  <si>
    <t>PRECAMBRIAN RES</t>
  </si>
  <si>
    <t>Precambrian Res.</t>
  </si>
  <si>
    <t>10.1016/S0301-9268(01)00139-5</t>
  </si>
  <si>
    <t>435LP</t>
  </si>
  <si>
    <t>WOS:000168883200008</t>
  </si>
  <si>
    <t>Duldig, ML</t>
  </si>
  <si>
    <t>Australian cosmic ray modulation research</t>
  </si>
  <si>
    <t>cosmic rays : observations; modulation; anisotropies; neutron monitor; muon telescope; GLE : heliosphere</t>
  </si>
  <si>
    <t>INTERPLANETARY MAGNETIC-FIELD; 2 HEMISPHERE OBSERVATIONS; GROUND-LEVEL ENHANCEMENT; NORTH-SOUTH ANISOTROPY; DIURNAL ANISOTROPY; PARTICLE DRIFT; SIDEREAL ANISOTROPIES; ULYSSES OBSERVATIONS; LATITUDE GRADIENTS; SEPTEMBER 1989</t>
  </si>
  <si>
    <t>Australian research into variations of the cosmic ray flux arriving at the Earth has played a pivotal role for more than 50 years. The work has been largely led by the groups from the University of Tasmania and the Australian Antarctic Division, and has involved the operation of neutron monitors and muon telescopes from many sites. In this paper, the achievements of the Australian researchers are reviewed and future experiments are described. Particular highlights include: the determination of cosmic ray modulation parameters; the development of techniques for modelling ground-level enhancements: the confirmation of the Tail-In and Loss-Cone sidereal anisotropies; the Spaceship Earth collaboration, and the Solar Cycle latitude survey.</t>
  </si>
  <si>
    <t>Australian Antarctic Div, Kingston, Tas 7050, Australia</t>
  </si>
  <si>
    <t>Australian Antarctic Division</t>
  </si>
  <si>
    <t>Duldig, ML (corresponding author), Australian Antarctic Div, Channel Highway, Kingston, Tas 7050, Australia.</t>
  </si>
  <si>
    <t>10.1071/AS01003</t>
  </si>
  <si>
    <t>465MD</t>
  </si>
  <si>
    <t>WOS:000170592000002</t>
  </si>
  <si>
    <t>Cantrill, DJ; Falcon-Lang, HJ</t>
  </si>
  <si>
    <t>Cretaceous (Late Albian) coniferales of Alexander Island, Antarctica. 2. Leaves, reproductive structures and roots</t>
  </si>
  <si>
    <t>Cretaceous; Antarctica; Coniferales; macroflora; palaeoecology</t>
  </si>
  <si>
    <t>FOSSIL RECORD; NEW-ZEALAND; ARAUCARIACEAE; LEAF; PALEOECOLOGY; ASSEMBLAGES; PATAGONIA; ARGENTINA; AUSTRALIA; TAXONOMY</t>
  </si>
  <si>
    <t>Coniferous foliage from the Albian of Alexander Island, Antarctica, is assigned to the Araucariaceae, Podocarpaceae, and Taxodiaceae based on attached or associated fertile remains. Araucarian foliage represented by Araucaria alexandrensis sp. nov. and A. chainbersii sp. nov. is associated with ovulate cone scales described as Araucarites wollemiaformis sp. nov. and A. citadelbastionensis sp. nov., respectively. The Podocarpaceae is represented by Bellingshausium willeyii sp. nov. and the Taxodiaceae by Athrotaxites ungeri, both with attached cones. Sterile foliage is widespread belonging to the form genera Podozamites, Elatocladus, Brachyphyllum and Pagiophyllum. The conifers in this Albian southern high-latitude flora make up ca. 15% of the species diversity. Evidence from leaf litter distribution on palaeosols and leaf morphology suggest that the majority of conifers were large canopy-forming trees, although a few were probably small understorey shrubs. (C) 2001 Elsevier Science B.V. All rights reserved.</t>
  </si>
  <si>
    <t>Cantrill, DJ (corresponding author), British Antarctic Survey, Nat Environm Res Council, High Cross,Madingley Rd, Cambridge CB3 0ET, England.</t>
  </si>
  <si>
    <t>Cantrill, David/R-1415-2019; Falcon-Lang, Howard J/D-8465-2011</t>
  </si>
  <si>
    <t>Cantrill, David/0000-0002-1185-4015;</t>
  </si>
  <si>
    <t>10.1016/S0034-6667(01)00053-7</t>
  </si>
  <si>
    <t>472EZ</t>
  </si>
  <si>
    <t>WOS:000170971700002</t>
  </si>
  <si>
    <t>Gómez, I</t>
  </si>
  <si>
    <t>Ecophysiology of Antarctic macroalgae:: effects of environmental light conditions on photosynthetic metabolism</t>
  </si>
  <si>
    <t>REVISTA CHILENA DE HISTORIA NATURAL</t>
  </si>
  <si>
    <t>Mini Symposium on Photobiology</t>
  </si>
  <si>
    <t>PUERTO VARAS, CHILE</t>
  </si>
  <si>
    <t>polar macroalgae; Antarctic; photosynthesis; daylength</t>
  </si>
  <si>
    <t>KING-GEORGE-ISLAND; HIMANTOTHALLUS-GRANDIFOLIUS DESMARESTIALES; ASCOSEIRA-MIRABILIS ASCOSEIRALES; INDEPENDENT CARBON FIXATION; LONG-TERM CULTURE; LAMINARIA-SOLIDUNGULA; MARINE MACROALGAE; LIFE-HISTORY; TEMPERATURE REQUIREMENTS; POTTER COVE</t>
  </si>
  <si>
    <t>Daylength is the major environmental factor affecting the seasonal photosynthetic performance of Antarctic macroalgae. For example, the season anticipation strategy of large brown algae such as Ascoseira mirabilis and Desmarestia menziesii are based on the ability of their photosynthetic apparatus to make use of the available irradiance at increasing daylengths in late winter-spring. The seasonal development and allocation of biomass along the lamina of A. mirabilis are related to a differential physiological activity in the plant. Thus. intra-thallus differentiation in O-2-based photosynthesis and carbon fixation represents a morpho-functional adaptation that optimizes conversion of radiant energy to primary productivity. In Desmarestia menziesii, reproductive phases show different photosynthetic characteristics. Small gametophytes and early stages of sporophytes, by virtue of their fine morphology, have a high content of pigments per weight unit, a high photosynthetic efficiency, very low light requirements for photosynthesis, and they are better suited to dim light conditions than adult sporophytes. This strategy ensures the completion of the life-cycle under seasonally changing light conditions. Low light requirements for growing and photosynthesizing are developed to cope with Antarctic seasonality and constitute adaptations to expand depth zonation of macroalgae. No differences in net P-max and photosynthetic efficiency (alpha) among algae growing at depths between 10 and 30 m, suggest a low potential for photoacclimation enabling algae to grow over a wide range of prevailing light conditions. However, shortenings in the daily period during which plants are exposed to saturation irradiances for photosynthesis (H-sat) and low carbon balance (daily P/R ratios) at depths close to or larger than 30 in negatively affect primary productivity. in general, photosynthetic rates of Antarctic macroalgae at 0 degreesC are comparable to those measured in species from temperate and cold-temperate regions. This clearly indicates a major physiological adaptation to the polar environment.</t>
  </si>
  <si>
    <t>Univ Austral Chile, Inst Biol Marina, Valdivia, Chile; Wadden Sea Stn Sylt, Alfred Wegener Inst Polar &amp; Marine Res, D-25992 List Auf Sylt, Germany</t>
  </si>
  <si>
    <t>Universidad Austral de Chile; Helmholtz Association; Alfred Wegener Institute, Helmholtz Centre for Polar &amp; Marine Research</t>
  </si>
  <si>
    <t>igomezo@mercurio.uach.cl</t>
  </si>
  <si>
    <t>SOC BIOLGIA CHILE</t>
  </si>
  <si>
    <t>SANTIAGO</t>
  </si>
  <si>
    <t>CASILLA 16164, SANTIAGO 9, CHILE</t>
  </si>
  <si>
    <t>0716-078X</t>
  </si>
  <si>
    <t>0717-6317</t>
  </si>
  <si>
    <t>REV CHIL HIST NAT</t>
  </si>
  <si>
    <t>Rev. Chil. Hist. Nat.</t>
  </si>
  <si>
    <t>10.4067/S0716-078X2001000200004</t>
  </si>
  <si>
    <t>458DM</t>
  </si>
  <si>
    <t>WOS:000170178000004</t>
  </si>
  <si>
    <t>Helbling, EW; Villafañe, VE; Barbieri, ES</t>
  </si>
  <si>
    <t>Sensitivity of winter phytoplankton communities from Andean lakes to artificial ultraviolet-B radiation</t>
  </si>
  <si>
    <t>ultraviolet-B radiation; photosynthesis; phytoplankton; ozone; Andean lakes</t>
  </si>
  <si>
    <t>OZONE HOLE; ANTARCTIC PHYTOPLANKTON; SOUTH-AMERICA; MARINE DIATOM; AMINO-ACIDS; PHOTOSYNTHESIS; INHIBITION; ORGANISMS; SUNSCREENS; ARGENTINA</t>
  </si>
  <si>
    <t>During July of 1999 sampling was carried out in five Andean takes to determine the sensitivity of winter phytoplankton communities to ultraviolet-B radiation (UV-B, 280-320 nm). The studied lakes. Moreno, El Trebol, Nahuel Huapi, Gutierrez, and Morenito, located in the Patagonia region (41 degreesS, 71 degreesW, 800 m of altitude), had attenuation coefficients for UV-B that ranged from 0.36 m(-1) (Lake Moreno) to 2.8 m(-1) (Lake Morenito). The samples were inoculated with labeled carbon (NaH(14)CO3) and incubated in an illuminated chamber (UV-B = 0.35 W M-2, UV-A [320-400 nm] = 1.1 W m(-2), and PAR [400-700 nm] = 10.8 W m(-2)) at 10 degreesC. The phytoplankton cells were exposed to UV radiation (280-400 nm) + PAR (quartz tubes), and to UV-A + PAR (quartz tubes covered with Mylar-D). The total duration of the experiments was 4 h and two samples were taken from each treatment every hour. In lakes Moreno, El Trebol, Nahuel Huapi and Gutierrez, the photosynthetic inhibition increased linearly with UV-B doses, while in Lake Morenito just a slight relationship was observed. After receiving a dose of 1.25 kJ m(-2) (UV-B), phytoplankton from Lake Morenito had the highest cumulative photosynthetic inhibition (44 %), whereas in Lakes Moreno, El Trebol, Nahuel Huapi and Gutierrez the inhibition was of 22, 11, 5, and 1 %, respectively. However, at the end of incubation period and after receiving doses of 5 kJ m(-2), the most inhibited phytoplankton cells were from Lake Moreno (70 %) and the most resistant (27 %) was that from Lake Gutierrez. The kinetics of inhibition was different in each lake, and transparent lakes, with higher proportion of large cells, had higher inhibition rates. The results suggest that an increase in UV-B radiation (e.g., produced by a decrease in stratospheric ozone) would have a greater impact on microplankton from clear lakes, while pico- and nanoplankton from less transparent lakes will be less affected.</t>
  </si>
  <si>
    <t>Estac Fotobiol Playa Union, RA-9100 Trelew, Chubut, Argentina</t>
  </si>
  <si>
    <t>Helbling, EW (corresponding author), Estac Fotobiol Playa Union, Casilla Correo 153, RA-9100 Trelew, Chubut, Argentina.</t>
  </si>
  <si>
    <t>SOCIEDAD BIOLGIA CHILE</t>
  </si>
  <si>
    <t>WOS:000170178000005</t>
  </si>
  <si>
    <t>Neale, PJ; Fritz, JJ; Davis, RF</t>
  </si>
  <si>
    <t>Effects of UV on photosynthesis of Antarctic phytoplankton: models and their application to coastal and pelagic assemblages</t>
  </si>
  <si>
    <t>Southern Ocean; primary productivity; ozone depletion; photosynthesis-irradiance curves; biological weighting functions</t>
  </si>
  <si>
    <t>ULTRAVIOLET-B RADIATION; MARINE-PHYTOPLANKTON; CARBON UPTAKE; INHIBITION; SPECTRA; DIATOM</t>
  </si>
  <si>
    <t>We have characterized the photosynthetic response to ultraviolet radiation (UV) of natural phytoplankton assemblages in Antarctic (Southern Ocean) waters, Biological weighting functions (BWFs) and exposure response curves for inhibition of photosynthesis by UV were measured during spring-time ozone depletion (October-November). Two different models were developed to relate photosynthesis to UV exposure. A model that is a function of the duration of exposure (BWFH) applied to assemblages in the well-mixed open waters of the Weddell-Scotia Confluence (WSC, 60 degrees S, 50 degrees W), since responses were a function of cumulative exposure and recovery rates were slow. These assemblages had a variable but generally high sensitivity to UV. A steady-state model (BWFE) applied in the shallow waters near the Antarctic Peninsula (Palmer Station, 64 degrees S, 64 degrees W), where inhibition was a function of irradiance (reciprocity failed), and recovery was rapid. Using information on the time-dependence of photosynthesis in assemblages with active repair. inferences were drawn on the relative contribution of damage and recovery processes to the UV weights. BWFs for Palmer phytoplankton sampled during periods of pack-ice cover had both higher damage and higher repair than BWFs for WSC assemblages. BWFs for Palmer phytoplankton sampled during open water periods had about the same damage weights as Weddell-Scotia assemblages but had a higher repair rate. Solar exposures of more than 10 min were predicted to have generally less effect on Palmer phytoplankton than the WSC phytoplankton.</t>
  </si>
  <si>
    <t>10.4067/S0716-078X2001000200006</t>
  </si>
  <si>
    <t>WOS:000170178000006</t>
  </si>
  <si>
    <t>Montecino, V; Molina, X; Martínez, G; Olmedo, MI; Retamal, L; Hannach, G; Orellana, MV</t>
  </si>
  <si>
    <t>Ecophysiological strategies in response to UV-B radiation stress in cultures of temperate microalgae isolated from the Pacific coast of South America</t>
  </si>
  <si>
    <t>photosynthesis; absorbance; photoreactivation; growth; UV response</t>
  </si>
  <si>
    <t>PHAEODACTYLUM-TRICORNUTUM BACILLARIOPHYCEAE; NATURAL PHYTOPLANKTON COMMUNITIES; SPECTRAL ABSORPTION-COEFFICIENTS; ULTRAVIOLET-RADIATION; MARINE-PHYTOPLANKTON; ABSORBING COMPOUNDS; ANTARCTIC PHYTOPLANKTON; OZONE DEPLETION; AMINO-ACIDS; PHOTOSYNTHESIS</t>
  </si>
  <si>
    <t>Marine microalgae exposed to ultraviolet radiation (UV) have complex adaptive responses provided by a series of protection and repair mechanisms. Interspecific differences in UV sensibility could result in differential selection of the more tolerant species, having consequences for the structure of phytoplankton assemblages. The relative importance of protection and photorepair mechanisms of microalgal cells exposed to potential UV-B stress was studied in monocultures with different-taxonomic, ecological and size characteristics obtained from the Chilean coast. Differences in photosynthesis and growth rates were predicted, since the ability to effectively acclimate to UV is not universal between microalgal species. The dinoflagellate Alexandrium catenella Whedon et Kofoid Balech, the diatom Phaeodactylum tricornutum Bohlin, the chrysophyte Aureococcus sp. and the cyanobacterium Spirulina subsalsa Oersted were acclimated during exponential cell growth under PAR + UV-A radiation (365 nm, 140-240 kJ m(-2)d(-1)) and thereafter exposed 2 h d(-1) to high and low UV-B radiation (312 nm, maximum 3.1 kJ m(-2)d(-1)) at the center of the 16 h light period. Measured parameters were growth rates (mu), in vivo spectral absorption, cellular fluorescence capacity, pigment concentration, photosynthesis and photoreactivation during three cycles in controls and treatment samples. Growth rates diminished less than 35 % in Phaeodactylum and Aureococcus compared to 80-100 % decrease in Alexandrium and Spirulina. In these two last species, a significant increase in UV absorbing substances was observed, probably related to the presence of mycosporine-like aminoacids (MAAs) and scytonemin, respectively, and also lower photoreactivation efficiency compared to Phaeodactylum and Aureococcus, The analysis of photosynthetic performance under different PAR/UV-A ratios for Alexandrium and Phaeodactylum. could also explain the differences in mu These results suggest that in time, species with high rates of photorepair might be more tolerant to UV-B than those species. which depend on the synthesis of UV absorbing compounds as their principal protection mechanism.</t>
  </si>
  <si>
    <t>Univ Chile, Fac Ciencias, Dept Ciencias Ecol, Santiago, Chile</t>
  </si>
  <si>
    <t>Montecino, V (corresponding author), Univ Chile, Fac Ciencias, Dept Ciencias Ecol, Casilla 653, Santiago, Chile.</t>
  </si>
  <si>
    <t>WOS:000170178000007</t>
  </si>
  <si>
    <t>Santacesaria, V; MacKenzie, AR; Stefanutti, L</t>
  </si>
  <si>
    <t>A climatological study of polar stratospheric clouds (1989-1997) from LIDAR measurements over Dumont d'Urville (Antarctica)</t>
  </si>
  <si>
    <t>TELLUS SERIES B-CHEMICAL AND PHYSICAL METEOROLOGY</t>
  </si>
  <si>
    <t>NITRIC-ACID; ARCTIC STRATOSPHERE; SIZE DISTRIBUTIONS; VOLCANIC AEROSOLS; ICE PARTICLES; FROST POINT; APE-POLECAT; OZONE HOLE; WINTER; GROWTH</t>
  </si>
  <si>
    <t>Backscatter lidar data from the French Antarctic base in Dumont d'Urville (66.40 degreesS, 140.01 degreesE), including aerosol background and observations of polar stratospheric clouds (PSCs), have been collected since 1989. In the present work we present a climatological study of PSCs, using a data base consisting of almost 90 observations. The seasonal evolution of PSCs, their optical classification, and their relationship with the observation temperature were studied. The first PSC was observed on day number 175 (15 June) and the last on day number 260 (7 September). The characteristic mid-cloud altitude decreases through the season at a rate of 2.5 km/month. Type Ia, Ib, and II PSCs - identified by their optical properties have been observed. External mixtures of these types have also been observed. These observations have been related to the local temperature measured by radiosondes. The relationship between PSC type and the period of the winter season was also investigated. Mixed (solid and liquid) type I clouds are mostly observed at the beginning of the winter. Type II clouds are observed only during the coldest period around midwinter, although temperatures below the frost point begin earlier and persist longer than this. Type Ia, solid-particle, clouds are observed mostly at the end of the winter.</t>
  </si>
  <si>
    <t>CNR, IROE, I-50127 Florence, Italy; Univ Lancaster, Dept Environm Sci, Lancaster LA1 4YQ, England</t>
  </si>
  <si>
    <t>Consiglio Nazionale delle Ricerche (CNR); Lancaster University</t>
  </si>
  <si>
    <t>Santacesaria, V (corresponding author), CNR, IROE, Via Panciatichi 64, I-50127 Florence, Italy.</t>
  </si>
  <si>
    <t>MacKenzie, Angus Robert/ISS-0362-2023; MacKenzie, Angus Robert/B-1704-2009</t>
  </si>
  <si>
    <t>MacKenzie, Angus Robert/0000-0002-8227-742X</t>
  </si>
  <si>
    <t>0280-6509</t>
  </si>
  <si>
    <t>TELLUS B</t>
  </si>
  <si>
    <t>Tellus Ser. B-Chem. Phys. Meteorol.</t>
  </si>
  <si>
    <t>10.1034/j.1600-0889.2001.01155.x</t>
  </si>
  <si>
    <t>451PQ</t>
  </si>
  <si>
    <t>WOS:000169810800007</t>
  </si>
  <si>
    <t>Boyd, IL</t>
  </si>
  <si>
    <t>Culling predators to protect fisheries: a case of accumulating uncertainties</t>
  </si>
  <si>
    <t>TRENDS IN ECOLOGY &amp; EVOLUTION</t>
  </si>
  <si>
    <t>SEA; ECOSYSTEM</t>
  </si>
  <si>
    <t>Boyd, IL (corresponding author), British Antarctic Survey, High Cross,Madingley Rd, Cambridge CB3 0ET, England.</t>
  </si>
  <si>
    <t>ELSEVIER SCIENCE LONDON</t>
  </si>
  <si>
    <t>84 THEOBALDS RD, LONDON WC1X 8RR, ENGLAND</t>
  </si>
  <si>
    <t>0169-5347</t>
  </si>
  <si>
    <t>TRENDS ECOL EVOL</t>
  </si>
  <si>
    <t>Trends Ecol. Evol.</t>
  </si>
  <si>
    <t>10.1016/S0169-5347(01)02158-9</t>
  </si>
  <si>
    <t>Ecology; Evolutionary Biology; Genetics &amp; Heredity</t>
  </si>
  <si>
    <t>Environmental Sciences &amp; Ecology; Evolutionary Biology; Genetics &amp; Heredity</t>
  </si>
  <si>
    <t>432XU</t>
  </si>
  <si>
    <t>WOS:000168721800008</t>
  </si>
  <si>
    <t>Rempel, AW; Waddington, ED; Wettlaufer, JS; Worster, MG</t>
  </si>
  <si>
    <t>Possible displacement of the climate signal in ancient ice by premelting and anomalous diffusion</t>
  </si>
  <si>
    <t>POLYCRYSTALLINE ICE; CENTRAL GREENLAND; ANTARCTIC ICE; CORE; RECRYSTALLIZATION; TEMPERATURE; TRANSITION; SYSTEM; ACID</t>
  </si>
  <si>
    <t>The best high-resolution records of climate over the past few hundred millennia are derived from ice cores retrieved from Greenland and Antarctica(1-3). The interpretation of these records relies on the assumption that the trace constituents used as proxies for past climate have undergone only modest post-depositional migration. Many of the constituents are soluble impurities found principally in unfrozen liquid that separates the grain boundaries in ice sheets. This phase behaviour, termed premelting, is characteristic of polycrystalline material(4,5). Here we show that premelting influences compositional diffusion in a manner that causes the advection of impurity anomalies towards warmer regions while maintaining their spatial integrity. Notwithstanding chemical reactions that might rx certain species against this prevailing transport, we rnd that-under conditions that resemble those encountered in the Eemian interglacial ice of central Greenland (from about 125,000 to 115,000 years ago)-impurity fluctuations may be separated from ice of the same age by as much as 50 cm. This distance is comparable to the ice thickness of the contested sudden cooling events in Eemian ice from the GRIP core.</t>
  </si>
  <si>
    <t>Univ Washington, Appl Phys Lab, Seattle, WA 98105 USA; Univ Washington, Dept Earth &amp; Space Sci, Seattle, WA 98195 USA; Univ Washington, Dept Phys, Seattle, WA 98105 USA; Univ Cambridge, Dept Appl Math &amp; Theoret Phys, Inst Theoret Geophys, Cambridge CB3 9EW, England</t>
  </si>
  <si>
    <t>University of Washington; University of Washington Seattle; University of Washington; University of Washington Seattle; University of Washington; University of Washington Seattle; University of Cambridge</t>
  </si>
  <si>
    <t>Rempel, AW (corresponding author), Univ Washington, Appl Phys Lab, Box 355640, Seattle, WA 98105 USA.</t>
  </si>
  <si>
    <t>Wettlaufer, John/AAZ-9949-2021</t>
  </si>
  <si>
    <t>Worster, Michael Grae/0000-0002-9248-2144</t>
  </si>
  <si>
    <t>MAY 31</t>
  </si>
  <si>
    <t>10.1038/35079043</t>
  </si>
  <si>
    <t>437GE</t>
  </si>
  <si>
    <t>WOS:000168982500046</t>
  </si>
  <si>
    <t>Conder, JA; Forsyth, DW</t>
  </si>
  <si>
    <t>Seafloor spreading on the Southeast Indian Ridge over the last one million years: a test of the Capricorn plate hypothesis</t>
  </si>
  <si>
    <t>sea-floor spreading; Southeast Indian Ridge; plate tectonics; Indian Ocean; plate boundaries; deformation</t>
  </si>
  <si>
    <t>AUSTRALIAN-ANTARCTIC DISCORDANCE; OCEAN TRIPLE JUNCTION; LITHOSPHERIC DEFORMATION; INTRAPLATE DEFORMATION; HISTORICAL SEISMICITY; FINITE ROTATIONS; TECTONICS; BOUNDARY; MOTIONS; SEA</t>
  </si>
  <si>
    <t>Plate motions in the Indian Ocean are inconsistent with a rigid Indo-Australian plate. An equatorial. diffuse boundary dividing the plate into separate Indian and Australian plates significantly improves the fit of kinematic plate models to the spreading rates, transform azimuths, and earthquake slip vectors on the spreading center boundaries. An additional boundary, further dividing the Australian plate into Australian and Capricorn plates has been proposed to account for much of the remaining inconsistency and the pattern of intraplate earthquakes [J.-Y. Royer. R.G. Gordon. Science 277 (1997) 1268-1274]. The proposed boundary is similar to 2000 km wide where it intersects the Southeast Indian Ridge. Several recent geophysical cruises to the Southeast Indian Ridge, including a cruise within the proposed boundary. provide many new data for investigating the validity of the Capricorn plate model. These neu observations strongly support the hypothesis that the Capricorn plate exists. Statistical tests of the data from the Southeast Indian Ridge alone are not sufficient to confirm it, but motion about the Rodriguez Triple Junction (RTJ) suggests some nonrigidity in the Antarctica-Australia-Somalia circuit. Inferred deformation with enforced closure about the RTJ leads to an estimate of plate motion consistent with the Capricorn plate model. However, the diffuse Capricorn-Australia boundary does not extend south of the St. Paul Fracture Zone, 800 km narrower than the previously proposed boundary. (C) 2001 Elsevier Science B.V. All rights reserved.</t>
  </si>
  <si>
    <t>Brown Univ, Dept Geol Sci, Providence, RI 02912 USA</t>
  </si>
  <si>
    <t>Brown University</t>
  </si>
  <si>
    <t>Conder, JA (corresponding author), Washington Univ, Dept Earth &amp; Planetary Sci, Campus Box 1169,1 Brookings Dr, St Louis, MO 63130 USA.</t>
  </si>
  <si>
    <t>Conder, James/AAH-8831-2019; Conder, James/AAO-6404-2021</t>
  </si>
  <si>
    <t>Conder, James/0000-0002-2942-9842;</t>
  </si>
  <si>
    <t>MAY 30</t>
  </si>
  <si>
    <t>10.1016/S0012-821X(01)00326-0</t>
  </si>
  <si>
    <t>438LA</t>
  </si>
  <si>
    <t>WOS:000169053800008</t>
  </si>
  <si>
    <t>Le Meur, E</t>
  </si>
  <si>
    <t>Effects of a viscoelastic lithosphere on the isostatic bedrock response</t>
  </si>
  <si>
    <t>isostasy; bedrock; ice sheets; lithosphere; viscoelasticity; relaxation</t>
  </si>
  <si>
    <t>SOUTHERN COOK ISLANDS; OCEANIC LITHOSPHERE; MODELS; EARTH; VISCOSITY; HOLOCENE; RHEOLOGY</t>
  </si>
  <si>
    <t>The lithosphere responds to loading by elastic flexure which is followed by viscous relaxation, the amount of which depends on the stress duration. This study compares results of an Earth model in which the lithosphere is modelled as a purely elastic layer and as a more general viscoelastic solid overlain by a rigid crust. It shows the emergence of a noticeable difference in the short wavelength (1 x 10(2)-5 x 10(2) km) component of the bedrock deformation after loading durations of the order of 10(5)-10(6) yr assuming a lower lithosphere viscosity of the order of 10(23)-10(24) Pa.s. In particular. for the long-term loading hypothesised to be imposed by the East Antarctic ice sheet, we find that a viscoelastic lithosphere yields a more local deformation pattern to which ice sheet dynamics are highly sensitive. It confirms that modelling of the Antarctic long-term evolution would benefit from a fully coupled ice/bedrock approach in which the lithosphere would be represented by a viscoelastic solid. (C) 2001 Elsevier Science B.V. All rights reserved.</t>
  </si>
  <si>
    <t>Le Meur, E (corresponding author), Cemagref, 2 Rue Papeterie,POB 76, F-38402 St Martin Dheres, France.</t>
  </si>
  <si>
    <t>10.1016/S0012-821X(01)00318-1</t>
  </si>
  <si>
    <t>WOS:000169053800017</t>
  </si>
  <si>
    <t>Miao, JG; Kunzi, K; Heygster, G; Lachlan-Cope, TA; Turner, J</t>
  </si>
  <si>
    <t>Atmospheric water vapor over Antarctica derived from Special Sensor Microwave/Temperature 2 data</t>
  </si>
  <si>
    <t>ICE-SHEET; PRECIPITATION; TRANSPORT; MODEL; RETRIEVALS; PARAMETERS; PENINSULA; PROFILES; CLOUDS; OCEAN</t>
  </si>
  <si>
    <t>In polar regions, satellite microwave radiometry has not been successful in measuring the total water vapor (TWV) in the atmosphere. The difficulties faced in these regions arise from the very low water vapor burden of the atmosphere and the large and highly variable emissivities of ice surfaces in the microwave frequency range. By exploiting the advantages of the Special Sensor Microwave/Temperature 2 (SSM/T2), a method is developed to retrieve TWV over Antarctica from satellite data. This method shows very low sensitivities to the change of surface emissivity and to the presence of water clouds. However, ice clouds may have considerable effects. Results of radiative transfer model simulation show that they may cause one to underestimate TWV using the proposed method and that the amount of underestimation is proportional to the ice water path of the ice cloud. Validations using radiosonde measurements and numerical model analyzes suggest that SSM/T2 retrievals have a high accuracy (maximum error &lt; 10%) as long as TWV is &lt;4.0 kg m(-2). Above this value, retrievals show a systematic overestimation. Presumably, this is a result of the seasonal difference between the validation and the training radiosonde data sets. TWV retrievals of 1 year's SSM/T2 data show clearly the seasonal variation of water vapor over Antarctica. Throughout the year the mean TWV over West Antarctica is nearly twice as high as that over East Antarctica; the temporal fluctuation of TWV over West Antarctica is also significantly stronger than over East Antarctica. This suggests that precipitation and water vapor transport in West Antarctica are more active than in East Antarctica. Using the same year's TWV data, we estimated the mean residence time of atmospheric water vapor over the Antarctica to be merely 3-4 days. This, however, is much shorter than the global mean of 9-10 days.</t>
  </si>
  <si>
    <t>Univ Bremen, Inst Environm Phys, D-28334 Bremen, Germany; British Antarctic Survey, Cambridge CB3 0ET, England</t>
  </si>
  <si>
    <t>University of Bremen; UK Research &amp; Innovation (UKRI); Natural Environment Research Council (NERC); NERC British Antarctic Survey</t>
  </si>
  <si>
    <t>Miao, JG (corresponding author), Univ Bremen, Inst Environm Phys, D-28334 Bremen, Germany.</t>
  </si>
  <si>
    <t>Heygster, Georg C./B-4928-2014</t>
  </si>
  <si>
    <t>Heygster, Georg/0000-0003-2232-7429; Turner, John/0000-0002-6111-5122</t>
  </si>
  <si>
    <t>MAY 27</t>
  </si>
  <si>
    <t>D10</t>
  </si>
  <si>
    <t>10.1029/2000JD900811</t>
  </si>
  <si>
    <t>434WY</t>
  </si>
  <si>
    <t>WOS:000168839900005</t>
  </si>
  <si>
    <t>Vyas, NK; Dash, MK; Bhandari, SM; Khare, N; Mitra, A; Pandey, C</t>
  </si>
  <si>
    <t>Large scale Antarctic features captured by multi-frequency scanning microwave radiometer on-board OCEANSAT-1</t>
  </si>
  <si>
    <t>CURRENT SCIENCE</t>
  </si>
  <si>
    <t>SEA ICE</t>
  </si>
  <si>
    <t>This paper discusses the features observed over the Antarctic in the passive microwave emission region by the multi-frequency scanning microwave radiometer (MSMR) instrument on-board the Indian remote sensing satellite IRS-P4, now called OCEANSAT-1, Brightness temperature images produced from MSMR show a clear distinction between open water and sea-ice-covered regions. It is also possible to differentiate several levels of ice concentration in the Antarctic Circumpolar Ocean. A number of land features like the Trans-Antarctic Mountain Ranges, part of Gamburtsev sub-glacial mountains, Wilkes and Aurora sub-glacial basins, etc, can be demarcated as well, The consistent quality and regular availability of MSMR data since June 1999 serve as a very useful tool in all-weather day-and-night monitoring of the Antarctic region. MSMR data used in continuation of ESMR, SMMR and SSM/I data, would prove valuable in the study of long-term changes in the polar cryosphere associated with global climate change.</t>
  </si>
  <si>
    <t>Ctr Space Applicat, Ahmedabad 380015, Gujarat, India; Natl Ctr Antarct &amp; Ocean Res, Goa 403804, India</t>
  </si>
  <si>
    <t>Vyas, NK (corresponding author), Ctr Space Applicat, Ahmedabad 380015, Gujarat, India.</t>
  </si>
  <si>
    <t>CURRENT SCIENCE ASSN</t>
  </si>
  <si>
    <t>BANGALORE</t>
  </si>
  <si>
    <t>C V RAMAN AVENUE, PO BOX 8005, BANGALORE 560 080, INDIA</t>
  </si>
  <si>
    <t>0011-3891</t>
  </si>
  <si>
    <t>CURR SCI INDIA</t>
  </si>
  <si>
    <t>Curr. Sci.</t>
  </si>
  <si>
    <t>MAY 25</t>
  </si>
  <si>
    <t>438HV</t>
  </si>
  <si>
    <t>WOS:000169048300028</t>
  </si>
  <si>
    <t>Parapar, J</t>
  </si>
  <si>
    <t>Revision of five species referred to Myriochele and Galathowenia (Polychaeta: Oweniidae) from the Antarctic Seas based upon type material</t>
  </si>
  <si>
    <t>PROCEEDINGS OF THE BIOLOGICAL SOCIETY OF WASHINGTON</t>
  </si>
  <si>
    <t>SHELF SOUTH SHETLAND; QUANTITATIVE-ANALYSIS; PHYLOGENY</t>
  </si>
  <si>
    <t>Based on the examination of type material, five Antarctic oweniid species (Polychaeta: Oweniidae), belonging to the genus Myriochele and Galathowenia, were studied: Myriochele scotiae Hartman, 1978, Galathowenin wilsoni, Blake, 1984, Myriochele joinvillensis Hartmann-Schroder &amp; Rosenfeldt, 1989, Myriochele longicollaris Hartmann-Schroder &amp; Rosenfeldt, 1989 and Myriochele terranovensis Cantone &amp; Di Pietro, 1998. The original description of M. scotiae has been emended due to the confirmation that the specimen described is a broken animal, and the shape of its anterior end is an artifact due to a breakage process. Galathowenin wilsoni and M. terranovensis are considered junior synonyms of Galathowenia scotiae (Hartman, 1978), new combination. Myriochele joinvillensis and IM. longicollaris are regarded as valid species. Data are also given on the intraspecific variability of some body traits of high taxonomic relevancy in oweniids such as the shape of the head region, posterior end and anteroposterior variation of the hooked setae. The taxonomic status of the genus Galathowenia Kirkegard, 1959 is discussed, and a key to the species of the family Oweniidae recorded in Antarctic waters is provided.</t>
  </si>
  <si>
    <t>Univ A Coruna, Fac Ciencias, Dept Biol Anim Biol Vexetal &amp; Ecol, E-15071 La Coruna, Spain</t>
  </si>
  <si>
    <t>Universidade da Coruna</t>
  </si>
  <si>
    <t>Parapar, J (corresponding author), Univ A Coruna, Fac Ciencias, Dept Biol Anim Biol Vexetal &amp; Ecol, Campus Zapateira, E-15071 La Coruna, Spain.</t>
  </si>
  <si>
    <t>Parapar, Julio/J-4150-2014</t>
  </si>
  <si>
    <t>BIOL SOC WASHINGTON</t>
  </si>
  <si>
    <t>NAT MUSEUM NAT HIST SMITHSONIAN INST, WASHINGTON, DC 20560 USA</t>
  </si>
  <si>
    <t>0006-324X</t>
  </si>
  <si>
    <t>1943-6327</t>
  </si>
  <si>
    <t>P BIOL SOC WASH</t>
  </si>
  <si>
    <t>Proc. Biol. Soc. Wash.</t>
  </si>
  <si>
    <t>438RK</t>
  </si>
  <si>
    <t>WOS:000169067200007</t>
  </si>
  <si>
    <t>Coleman, CO; Kauffeldt, J</t>
  </si>
  <si>
    <t>Antarctodius rauscherti, a new species (Crustacea: Amphipoda: Ochlesidae) from the Antarctic Ocean</t>
  </si>
  <si>
    <t>The Antarctic amphipod crustacean Antarctodius rauscherti, new species, is described. This species can be distinguished from its hypothetical sister taxon, Antarctodius antarcticus, by its elongate peduncles of the antenna 1 and 2, pointed apical processes on peduncle articles 1 and 2 of antenna 1, the shortened and strongly flexed rostrum and the truncate apices of coxa 2 and 3, and the lack of a dorsal hump on pleonite 3.</t>
  </si>
  <si>
    <t>Museum Naturkunde, Inst Syst Zool, D-10115 Berlin, Germany</t>
  </si>
  <si>
    <t>Leibniz Institut fur Evolutions und Biodiversitatsforschung</t>
  </si>
  <si>
    <t>Coleman, CO (corresponding author), Museum Naturkunde, Inst Syst Zool, Invalidenstr 43, D-10115 Berlin, Germany.</t>
  </si>
  <si>
    <t>WOS:000169067200009</t>
  </si>
  <si>
    <t>Dubowski, Y; Colussi, AJ; Hoffmann, MR</t>
  </si>
  <si>
    <t>Nitrogen dioxide release in the 302 nm band photolysis of spray-frozen aqueous nitrate solutions. Atmospheric implications</t>
  </si>
  <si>
    <t>ICE SURFACES; PHOTOCHEMISTRY; WATER; SNOW; DIFFUSION; NITRITE; HNO3; REDISTRIBUTION; COEFFICIENTS; TROPOSPHERE</t>
  </si>
  <si>
    <t>We quantify the NO2 fluxes released into the gas phase during the continuous lambda similar to 300 nm photolysis of NO3- in submillimeter ice layers produced by freezing aqueous KNO3 sprays on cold-surfaces. Fluxes, F-NO2, increase weakly with [NO3-] between 5 less than or equal to [NO3-]/mM less than or equal to 50 and increase markedly with temperature in the range of 268 greater than or equal to T/K greater than or equal to 248. We found that F-NO2, the photostationary concentration of NO2- (another primary photoproduct), and the quantum yield of 2-nitrobenzaldehyde in situ photoisomerization are nearly independent of ice layer thickness d within 80 less than or equal to d/mum less than or equal to 400. We infer that radiation is uniformly absorbed over the depth of the ice layers, where NO3- is photodecomposed into NO2 (+ OH) and NO2- (+ O), but that only the NO2 produced on the uppermost region is able to escape into the gas phase. The remainder is trapped and further photolyzed into NO. We obtain phi (-)(NO2) similar to 4.8 x 10(-3) at 263 K, i.e., about the quantum yield of nitrite formation in neutral NO3- aqueous solutions, and an apparent quantum yield of NO2 release phi ' (NO2), similar to 1.3 x 10-3 that is about a factor of 5 smaller than solution OK data extrapolated to 263 K. These results suggest that NO3- photolysis in ice takes place in a liquidlike environment and that actual phi ' (NO2) values may depend on the morphology of ice deposits. Present phi ' (NO2) data, in conjunction with snow albedo and absorptivity data, lead to F-NO2 values in essential agreement with recent measurements in Antarctic snow under solar illumination.</t>
  </si>
  <si>
    <t>CALTECH, WM Keck Labs Environm Sci, Pasadena, CA 91125 USA</t>
  </si>
  <si>
    <t>California Institute of Technology</t>
  </si>
  <si>
    <t>Colussi, AJ (corresponding author), CALTECH, WM Keck Labs Environm Sci, Pasadena, CA 91125 USA.</t>
  </si>
  <si>
    <t>Colussi, Agustin J/C-6520-2008; Dubowski, Yael/JXX-2694-2024; Colussi, Agustin J./GXA-0446-2022</t>
  </si>
  <si>
    <t>Dubowski, Yael/0000-0001-5202-0298;</t>
  </si>
  <si>
    <t>MAY 24</t>
  </si>
  <si>
    <t>10.1021/jp0042009</t>
  </si>
  <si>
    <t>436AT</t>
  </si>
  <si>
    <t>WOS:000168914900017</t>
  </si>
  <si>
    <t>Geiger, FM; Pibel, CD; Hicks, JM</t>
  </si>
  <si>
    <t>The hydrolysis of chlorine nitrate on ice is autocatalytic</t>
  </si>
  <si>
    <t>POLAR STRATOSPHERIC CLOUDS; HETEROGENEOUS REACTIONS; HYDROGEN-CHLORIDE; ANTARCTIC OZONE; WATER CLUSTERS; SULFURIC-ACID; NITRIC-ACID; HCL; CHEMISTRY; SURFACES</t>
  </si>
  <si>
    <t>A key chemical reaction in stratospheric ozone depletion is the reaction of chlorine nitrate (ClONO2) with water. This reaction is known to be catalyzed in the presence of ice particles found in polar stratospheric clouds (PSCs). However, the mechanism and time scale of the reaction, and the role of the ice surface, are not well understood. This surface second harmonic generation study shows that the submonolayer ClONO2 hydrolysis on basal ice (Ih) surfaces at 185 K occurs autocatalytically, with the product molecule HOCl acting as the autocatalyst. The other product, HNO3, acts to delay the reaction. The hydrolysis reaction is surprisingly slow, with induction times that range from 100 to 1000 s, depending upon how much reactant is initially present. It is proposed that: the ice surface serves as a reservoir, enabling the reaction to be acid catalyzed.</t>
  </si>
  <si>
    <t>Georgetown Univ, Dept Chem, Washington, DC 20057 USA</t>
  </si>
  <si>
    <t>Georgetown University</t>
  </si>
  <si>
    <t>Hicks, JM (corresponding author), Georgetown Univ, Dept Chem, Washington, DC 20057 USA.</t>
  </si>
  <si>
    <t>Geiger, Franz M./C-6950-2013</t>
  </si>
  <si>
    <t>10.1021/jp0101007</t>
  </si>
  <si>
    <t>WOS:000168914900019</t>
  </si>
  <si>
    <t>Jean-Baptiste, P; Petit, JR; Lipenkov, VY; Raynaud, D; Barkov, NI</t>
  </si>
  <si>
    <t>Constraints on hydrothermal processes and water exchange in Lake Vostok from helium isotopes</t>
  </si>
  <si>
    <t>ANTARCTIC ICE; MANTLE; GASES; SHEET</t>
  </si>
  <si>
    <t>Lake Vostok, the largest subglacial lake in Antarctica, is covered by the East Antarctic ice sheet, which varies in thickness between 3,750 and 4,100 m (ref. 1). At a depth of 3,539 m in the drill hole at Vostok station, sharp changes in stable isotopes and the gas content of the ice delineate the boundary between glacier ice and ice accreted through re-freezing of lake water(2). Unlike most gases, helium can be incorporated into the crystal structure of ice during freezing(3), making helium isotopes in the accreted ice a valuable source of information on lake environment. Here we present helium isotope measurements from the deep section of the Vostok ice core that encompasses the boundary between the glacier ice and accreted ice, showing that the accreted ice is enriched by a helium source with a radiogenic isotope signature typical of an old continental province. This result rules out any significant hydrothermal energy input into the lake from high-enthalpy mantle processes, which would be expected to produce a much higher He-3/(4) He ratio. Based on the average helium flux for continental areas, the helium budget of the lake leads to a renewal time of the lake of the order of 5,000 years.</t>
  </si>
  <si>
    <t>CEA, CNRS, Lab Sci Climat &amp; Environmm, Ctr Etud Saclay, F-91191 Gif Sur Yvette, France; CNRS, Lab Glaciol &amp; Geophys Environm, F-38402 St Martin Dheres, France; Arctic &amp; Antarctic Res Inst, St Petersburg 199397, Russia</t>
  </si>
  <si>
    <t>CEA; Centre National de la Recherche Scientifique (CNRS); Universite Paris Saclay; Centre National de la Recherche Scientifique (CNRS); Arctic &amp; Antarctic Research Institute</t>
  </si>
  <si>
    <t>Jean-Baptiste, P (corresponding author), CEA, CNRS, Lab Sci Climat &amp; Environmm, Ctr Etud Saclay, F-91191 Gif Sur Yvette, France.</t>
  </si>
  <si>
    <t>raynaud, dominique/ABG-4718-2020; Raynaud, Dominique/H-9626-2016; Lipenkov, Vladimir/Q-8262-2016</t>
  </si>
  <si>
    <t>10.1038/35078045</t>
  </si>
  <si>
    <t>435CB</t>
  </si>
  <si>
    <t>WOS:000168858700043</t>
  </si>
  <si>
    <t>Woschnagg, K; Price, PB</t>
  </si>
  <si>
    <t>Temperature dependence of absorption in ice at 532 nm</t>
  </si>
  <si>
    <t>APPLIED OPTICS</t>
  </si>
  <si>
    <t>SOUTH-POLE; DIELECTRIC-PROPERTIES; DEEP ICE; RAMAN-SPECTRUM; SOUND-WAVES; WATER ICE; H2O ICE; PRESSURE; MICROWAVE</t>
  </si>
  <si>
    <t>A YAG laser was used to emit nanosecond pulses of light at 532 nm at depths from 1185 to 2200 m in Antarctic ice, corresponding to temperatures increasing from 229 to 249 K. From the timing distributions of photons arriving at phototubes at distances up to 100 m and at similar depths, the scattering and absorption coefficients were measured, and the temperature dependence of absorptivity at 532 nn was determined. Despite the absorptivity being many orders of magnitude lower at 532 nm than in the near ultraviolet and near infrared. the fractional increase of absorptivity, a(-1) da/dT = 0.01 K-1, was the same in the visible, ultraviolet, and infrared. Analysis of published data at other wavelengths shows that a(-1)da/dT is similar to0.01 K-1 from 175 nm to similar to1 cm, above which it increases strongly from 1 cm to 10 m. That temperature dependence applies only in regions not close to absorption bands. (C) 2001 Optical Society of America.</t>
  </si>
  <si>
    <t>Univ Calif Berkeley, Dept Phys, Berkeley, CA 94720 USA</t>
  </si>
  <si>
    <t>Woschnagg, K (corresponding author), Univ Calif Berkeley, Dept Phys, 303 Birge Hall, Berkeley, CA 94720 USA.</t>
  </si>
  <si>
    <t>bprice@uclink4.berkeley.edu</t>
  </si>
  <si>
    <t>OPTICAL SOC AMER</t>
  </si>
  <si>
    <t>2010 MASSACHUSETTS AVE NW, WASHINGTON, DC 20036 USA</t>
  </si>
  <si>
    <t>1559-128X</t>
  </si>
  <si>
    <t>2155-3165</t>
  </si>
  <si>
    <t>APPL OPTICS</t>
  </si>
  <si>
    <t>Appl. Optics</t>
  </si>
  <si>
    <t>MAY 20</t>
  </si>
  <si>
    <t>10.1364/AO.40.002496</t>
  </si>
  <si>
    <t>Optics</t>
  </si>
  <si>
    <t>433KQ</t>
  </si>
  <si>
    <t>WOS:000168758900020</t>
  </si>
  <si>
    <t>Miocinovic, P; Price, PB; Bay, RC</t>
  </si>
  <si>
    <t>Rapid optical method for logging dust concentration versus depth in glacial ice</t>
  </si>
  <si>
    <t>SOUTH-POLE; DEEP ICE; ANTARCTIC ICE; CLIMATE; RECORD; CORE</t>
  </si>
  <si>
    <t>We describe the design and simulated response of a dust logger consisting of a downward-pointing phototube, similar to2 m below side-directed light-emitting diodes (ZEDs), attached to a cable that can lower the device down a 3-in. (7.5-cm) borehole filled with butyl acetate. ZED photons that enter the ice are scattered or absorbed by dust grains, and those that reach the phototube provide a measure of dust or volcanic ash concentration at a given depth. An increased dust concentration associated with an ancient colder climate will usually result in an increase in collected light, but may decrease collected light if air bubbles are present. Centimeter-thick volcanic ash hands can also be detected. The concept is based on six years of experience with pulsed light sources used to measure optical properties of deep Antarctic ice. (C) 2001 Optical Society of America.</t>
  </si>
  <si>
    <t>Miocinovic, P (corresponding author), Univ Calif Berkeley, Dept Phys, Berkeley, CA 94720 USA.</t>
  </si>
  <si>
    <t>10.1364/AO.40.002515</t>
  </si>
  <si>
    <t>WOS:000168758900023</t>
  </si>
  <si>
    <t>Zhang, XL; Lee, Y; Bolatto, A; Stark, AK</t>
  </si>
  <si>
    <t>CO (J=4→3) and [C I] observations of the Carina molecular cloud complex</t>
  </si>
  <si>
    <t>ASTROPHYSICAL JOURNAL</t>
  </si>
  <si>
    <t>ISM : clouds; ISM : molecules; submillimeter</t>
  </si>
  <si>
    <t>SPIRAL GALAXIES; ATOMIC CARBON; SECULAR EVOLUTION; PHOTODISSOCIATION REGIONS; INTERSTELLAR-MEDIUM; STAR-FORMATION; DENSE CORES; SUBMILLIMETER; TURBULENCE; ABUNDANCE</t>
  </si>
  <si>
    <t>We present large-area, fully sampled maps of the Carina molecular cloud complex in the CO (J = 4 --&gt;3) and neutral carbon [C I] P-3(1) --&gt; P-3(0) transitions. These data were obtained using the 1.7 m antarctic Submillimeter Telescope and Remote Observatory (AST/RO). The maps cover an area of approximately 3 deg(2) with a uniform 1' spatial sampling. Analysis of these data, in conjunction with CO (J = 1 --&gt;0) data from the Columbia CO survey and the IRAS HIRES continuum maps for the same region, suggests that the spiral density wave shock associated with the Carina spiral arm may be playing an important role in the formation and dissociation of the cloud complex, as well as in maintaining the internal energy balance of the clouds in this region. Massive stars form at the densest regions of the molecular cloud complex. The minds and outflows associated with these stars have a disrupting effect on the complex and inject mechanical energy into the parent clouds, while the UV radiation from the young stars also heats the parent clouds. The present set of data suggests, however, that massive stars alone map not account for the energetics of the clouds in the Carina region. The details of the data and the correlation among the various data sets hint at the possible role that the spiral density wave shock plays in feeding interstellar turbulence and heating molecular clouds.</t>
  </si>
  <si>
    <t>Harvard Smithsonian Ctr Astrophys, Cambridge, MA 02138 USA; Korea Astron Observ, Taeduk Radio Astron Observ, Taejon 305348, South Korea; Boston Univ, Dept Astron, Inst Astrophys Res, Boston, MA 02215 USA</t>
  </si>
  <si>
    <t>Smithsonian Institution; Smithsonian Astrophysical Observatory; Harvard University; Korea Astronomy &amp; Space Science Institute (KASI); Boston University</t>
  </si>
  <si>
    <t>Harvard Smithsonian Ctr Astrophys, 60 Garden St,Mail Stop 78, Cambridge, MA 02138 USA.</t>
  </si>
  <si>
    <t>Bolatto, Alberto/0000-0002-5480-5686; Stark, Antony/0000-0002-2718-9996</t>
  </si>
  <si>
    <t>IOP PUBLISHING LTD</t>
  </si>
  <si>
    <t>BRISTOL</t>
  </si>
  <si>
    <t>TEMPLE CIRCUS, TEMPLE WAY, BRISTOL BS1 6BE, ENGLAND</t>
  </si>
  <si>
    <t>0004-637X</t>
  </si>
  <si>
    <t>1538-4357</t>
  </si>
  <si>
    <t>ASTROPHYS J</t>
  </si>
  <si>
    <t>Astrophys. J.</t>
  </si>
  <si>
    <t>10.1086/320628</t>
  </si>
  <si>
    <t>442JA</t>
  </si>
  <si>
    <t>WOS:000169280400024</t>
  </si>
  <si>
    <t>Masonis, SJ; Warren, SG</t>
  </si>
  <si>
    <t>Gain of the AVHRR visible channel as tracked using bidirectional reflectance of Antarctic and Greenland snow</t>
  </si>
  <si>
    <t>HIGH-RESOLUTION RADIOMETER; NEAR-INFRARED CHANNELS; DEGRADATION RATES; ICE-SHEET; IR BANDS; CALIBRATION; SURFACE; NOAA-9; ABSORPTION; ALBEDO</t>
  </si>
  <si>
    <t>The snow surfaces of the high plateaus of the East Antarctic and Greenland ice sheets are used to determine multi-year drift in the sensitivity of the visible channel of the Advanced Very High Resolution Radiometer (AVHRR) on the polar-orbiting satellites NOAA-9, 10, and 11. Bidirectional reflectance distribution functions are empirically derived for the months of October-February (Antarctica) and April-August (Greenland) using a simplified atmospheric model. The bidirectional reflectance of the snow surface should not change from year to year for near-nadir satellite views. Therefore, drift in the derived bidirectional reflectance distribution function is interpreted as drift in channel sensitivity. Several factors make the snow surface of an ice sheet suitable as a calibration target far visible and near-UV channels. (1) In this spectral region, snow has a very high albedo (&gt;97%) that is invariant with grain size and incidence angle. (2) On the high plateaus the temperatures are always far below freezing so the surface consists of cold fine-grained snow, and there is negligible contamination. (3) The ice sheet surfaces are uniform and flat across large areas. (4) Ozone is the only significant variable absorber in this spectral region, and its absorption can be accounted for if the ozone amount is known. (5) Cloud detection and removal is not necessary, because the thin clouds over the high ice sheets apparently do not alter the near-nadir reflectance, as they do over dark surfaces. Our analysis indicates that the visible channel on NOAA-9 degraded linearly over the 3.5-year lifetime of the instrument by 5.3+/-0.1% per year. NOAA-10 showed non-linear behaviour that could be fitted with a fourth-order polynomial. Data from NOAA-11 prior to the eruption of Mt Pinatubo showed a linear increase in sensitivity of 2.3+/-0.2% per year. The derived drifts are not sensitive to the choice of spatial and temporal averaging scales, the choice of months and gridboxes, and whether or not a cloud-rejection scheme is used.</t>
  </si>
  <si>
    <t>Univ Washington, Dept Atmospher Sci, Seattle, WA 98195 USA</t>
  </si>
  <si>
    <t>Univ Washington, Dept Atmospher Sci, Box 351640, Seattle, WA 98195 USA.</t>
  </si>
  <si>
    <t>sarahd@atmos.washington.edu</t>
  </si>
  <si>
    <t>Doherty, Sarah/D-5592-2015</t>
  </si>
  <si>
    <t>Doherty, Sarah/0000-0002-7796-6968</t>
  </si>
  <si>
    <t>1366-5901</t>
  </si>
  <si>
    <t>10.1080/01431160121039</t>
  </si>
  <si>
    <t>437EK</t>
  </si>
  <si>
    <t>WOS:000168977600008</t>
  </si>
  <si>
    <t>Porter, A</t>
  </si>
  <si>
    <t>Davies 'Antarctic Symphony'</t>
  </si>
  <si>
    <t>1366-7211</t>
  </si>
  <si>
    <t>MAY 18</t>
  </si>
  <si>
    <t>434PV</t>
  </si>
  <si>
    <t>WOS:000168825800030</t>
  </si>
  <si>
    <t>Poole, I; Gottwald, H</t>
  </si>
  <si>
    <t>Monimiaceae sensu lato, an element of gondwanan polar forests:: evidence from the Late Cretaceous-Early Tertiary wood flora of Antarctica</t>
  </si>
  <si>
    <t>JAMES-ROSS-ISLAND; ALEXANDER ISLAND; LIVINGSTON ISLAND; WILLIAMS POINT; FOSSIL WOOD; STRATIGRAPHY; VEGETATION; ANATOMY</t>
  </si>
  <si>
    <t>Palaeofloristic studies of the Antarctic Peninsula region are important in furthering our understanding of (i) the radiation and rise to ecological dominance of the angiosperms in the Southern Hemisphere during the Late Cretaceous and (ii) the present day disjunct austral vegetation. Investigations of Upper Cretaceous and Early Tertiary sediments of this region yield a rich assemblage of well-preserved fossil dicotyledonous angiosperm wood which provides evidence for the existence, since the Late Cretaceous, of temperate forests similar in composition to those found in present-day southern South America, New Zealand and Australia. This paper describes two previously unrecognised morphotypes, which can be assigned to the Monimiaceae sensu lato, and represents the first record of this family in the wood flora of Antarctica. Specimens belonging to the first fossil morphotype have been assigned to Hedycaryoxylon Suss (subfamily Monimioideae) because they exhibit anatomical features characteristic of Hedycaryoxylon and extant Hedycarya J. R. Forst. &amp; G. Forst. and Tambourissa Sonn. Characters include diffuse porosity, vessels which are mainly solitary with scalariform perforation plates, opposite to scalariform intervascular pitting, paratracheal parenchyma, septate fibres and tall (&gt; 3 mm), wide multiseriate rays with a length: breadth ratio of approximately 1: 4. Specimens belonging to the second morphotype have been assigned to Atherospermoxylon Krausel, erected for fossil woods of the Monimiaceae in the tribe Atherospermeae (now Atherospermataceae) in that they exhibit anatomical features similar to Atherospermoxylon and extant Daphnandra Benth., Doryphora Endl. and Laurelia novae-zelandiae A. Cunn. These characters include diffuse to semi-ring porosity, scalariform perforation plates with up to 25 bars, septate fibres, relatively short (&lt; 1 mm) rays with a length: breadth ratio of between 1: 4 and 1: 11.</t>
  </si>
  <si>
    <t>Univ Leeds, Sch Earth Sci, Leeds LS2 9JT, W Yorkshire, England</t>
  </si>
  <si>
    <t>University of Leeds</t>
  </si>
  <si>
    <t>Natl Herbarium Netherlands, Univ Utrecht Branch, POB 80102, NL-3585 CS Utrecht, Netherlands.</t>
  </si>
  <si>
    <t>CLAYTON</t>
  </si>
  <si>
    <t>UNIPARK, BLDG 1, LEVEL 1, 195 WELLINGTON RD, LOCKED BAG 10, CLAYTON, VIC 3168, AUSTRALIA</t>
  </si>
  <si>
    <t>1446-5701</t>
  </si>
  <si>
    <t>MAY 17</t>
  </si>
  <si>
    <t>10.1071/SB00022</t>
  </si>
  <si>
    <t>432UJ</t>
  </si>
  <si>
    <t>WOS:000168713800004</t>
  </si>
  <si>
    <t>Characteristics of snowdrift over a bare ice surface in Antarctica</t>
  </si>
  <si>
    <t>THRESHOLD WIND-SPEEDS; BLOWING SNOW; COEFFICIENTS; SEA</t>
  </si>
  <si>
    <t>This paper presents various snowdrift quantities evaluated from meteorological and snowdrift data observed over an Antarctic blue ice surface during austral summer. It is found that snowdrift transport rates over ice are much lower than over snow surfaces. The main cause of this is the limited availability of loose snow on the blue ice surface. Observations indicate that a significant part of snowdrift transport over blue ice occurs at relatively weak wind speeds, signifying the importance of erosion of loose snow at the ice surface. No clear relationship between wind speed and transport rate is found because other factors such as snow availability, the age of the snow cover, and the upwind conditions are important parameters as well. The increase in aerodynamic roughness length with friction velocity, which is usually found in snowdrift over snow, is absent over blue ice. This is because the surface friction associated with the movement of saltating particles is negligible over the smooth blue ice surface.</t>
  </si>
  <si>
    <t>Univ Utrecht, Inst Marine &amp; Atmospher Res Utrecht, NL-3584 CC Utrecht, Netherlands</t>
  </si>
  <si>
    <t>Univ Utrecht, Inst Marine &amp; Atmospher Res Utrecht, Princetonpl 5, NL-3584 CC Utrecht, Netherlands.</t>
  </si>
  <si>
    <t>R.Bintanja@phys.uu.nl</t>
  </si>
  <si>
    <t>MAY 16</t>
  </si>
  <si>
    <t>D9</t>
  </si>
  <si>
    <t>10.1029/2000JD900835</t>
  </si>
  <si>
    <t>432ZY</t>
  </si>
  <si>
    <t>WOS:000168731900002</t>
  </si>
  <si>
    <t>Shi, N; Schneider, R; Beug, HJ; Dupont, LM</t>
  </si>
  <si>
    <t>Southeast trade wind variations during the last 135 kyr: evidence from pollen spectra in eastern South Atlantic sediments</t>
  </si>
  <si>
    <t>wind transport; pollen; South Atlantic; Southern Africa</t>
  </si>
  <si>
    <t>HEINRICH EVENTS; GLACIAL PERIOD; AFRICA; CLIMATE; RECORDS; ICE; VARIABILITY; VEGETATION; NORTH; BC</t>
  </si>
  <si>
    <t>Influx of aeolian pollen trapped in marine sediments off Namibia provides a wind variation record for the last 135 kyr. The influx of major pollen components is derived from the southwest African desert/semi-desert zone and shows six periods during which enhanced southeast trade winds contributed to strong upwelling and reduced sea surface temperatures. The most prominent of these occurred during 17-23 cal. kyr, 42-56 kyr and before 130 kyr B.P. Correspondence between the pollen influx record and the Vostok deuterium isotope record suggests that pronounced glacial Antarctic cooling was accompanied by intensification of the southeast trades throughout the Late Quaternary. However, during 42-23 kyr B.P. the combination of strong Antarctic glaciation with a decrease of wind zonality induced by low latitude precessional insolation changes caused strong alongshore winds and Ekman pumping that resulted in strong upwelling and reduced sea surface temperatures without pollen influx enhancement. (C) 2001 Elsevier Science B.V. All rights reserved.</t>
  </si>
  <si>
    <t>Univ Gottingen, D-37073 Gottingen, Germany; Univ Bremen, D-28334 Bremen, Germany</t>
  </si>
  <si>
    <t>University of Gottingen; University of Bremen</t>
  </si>
  <si>
    <t>108 Ashgrove Circle 8, Pointe Claire, PQ H9R 3N4, Canada.</t>
  </si>
  <si>
    <t>ningsh10@gmx.net</t>
  </si>
  <si>
    <t>Dupont, Lydie/0000-0001-9531-6793</t>
  </si>
  <si>
    <t>MAY 15</t>
  </si>
  <si>
    <t>10.1016/S0012-821X(01)00267-9</t>
  </si>
  <si>
    <t>434DJ</t>
  </si>
  <si>
    <t>WOS:000168799600007</t>
  </si>
  <si>
    <t>Xie, XD; Chen, M; Dai, CD; El Goresy, A; Gillet, P</t>
  </si>
  <si>
    <t>A comparative study of naturally and experimentally shocked chondrites</t>
  </si>
  <si>
    <t>shock metamorphism; experimental studies; chondrites; melts</t>
  </si>
  <si>
    <t>H6 CHONDRITE; ELECTRON PETROGRAPHY; TENHAM CHONDRITE; METEORITE; YANZHUANG; SHERGOTTY; VEINS; MELT; CLASSIFICATION; METAMORPHISM</t>
  </si>
  <si>
    <t>Samples of the Jilin H5 chondrite were experimentally shock-loaded at the peak pressures of 12, 27, 39, 53, 78, 83, 93, and 133 GPa. The aim of this study is to compare experimentally shock-induced phenomena with those in naturally shocked chondrites and to test the feasibility of experimentally calibrating naturally induced shock phenomena in Hand L-chondrites. Planar fractures, mosaicism, brecciation in olivine and pyroxene, as well as transformation of plagioclase into diaplectic glass were observed in the Jilin samples shocked at pressures lower than 53 GPa. Shock-induced chondritic melts were first obtained at P &gt; 78 GPa and more than 60% of the whole-rock melting was achieved at P similar to 133 GPa, and that shook-induced silicate melt consists of quenched microcrystalline olivine and pyroxene, metal, troilite and vesicular glass. No high-pressure phases were observed in any of the experimentally shocked samples, neither in the deformed nor in the molten regions. Deformation features in Jilin samples shock-loaded below 53 GPa are comparable to those found in H- and L-chondrites. The mineral assemblages in the molten regions in the shocked Jilin samples are also comparable to those encountered in the heavily shocked Yanzhuang (H6) and some Antarctic H-chondrites, but differ considerably from those found in heavily shocked Sixiangkou and many other L6 chondrites. Shock melt veins in L6 chondrites contain high-pressure polymorphs of olivine, pyroxene, plagioclase and high-pressure liquidus phases, whereas shock melt veins in heavily shocked H-chondrites contain mainly low-pressure mineral assemblages. The differences in the mineral constituents of shock melt veins in L- and H-chondrites clearly indicate differences in the shock histories of these meteorites. While crystallization in the shook melt veins in L-chondrites took place at high pressures, crystallization in shock-induced melt in most H-chondrites took place after decompression. It is evident that the thickness and abundance of shock melt veins and size of melt regions is not necessarily a quantitative measure of the degree of shock. The duration of the high-pressure regime, the time of the cooling and the P-T regime during the crystallization path, and the post-shock temperatures are stringent parameters that control the evolution of the shock-induced melt. So, scaling from shock experiments on millimeter-sized samples to natural shock features on kilometer-sized asteroids poses considerable problems in quantifying the P-T conditions during natural shock events on asteroids. (C) 2001 Elsevier Science B.V. All rights reserved.</t>
  </si>
  <si>
    <t>Acad Sinica, Guangzhou Inst Geochem, Guangzhou 510640, Peoples R China; Max Planck Inst Chem, D-55128 Mainz, Germany; Ecole Normale Super Lyon, Lab Earth Sci, F-69364 Lyon, France</t>
  </si>
  <si>
    <t>Chinese Academy of Sciences; Guangzhou Institute of Geochemistry, CAS; Max Planck Society; Ecole Normale Superieure de Lyon (ENS de LYON)</t>
  </si>
  <si>
    <t>Xie, XD (corresponding author), Acad Sinica, Guangzhou Inst Geochem, Guangzhou 510640, Peoples R China.</t>
  </si>
  <si>
    <t>10.1016/S0012-821X(01)00297-7</t>
  </si>
  <si>
    <t>WOS:000168799600010</t>
  </si>
  <si>
    <t>Friess, U; Wagner, T; Pundt, I; Pfeilsticker, K; Platt, U</t>
  </si>
  <si>
    <t>Spectroscopic measurements of tropospheric iodine oxide at Neumayer Station, Antarctica</t>
  </si>
  <si>
    <t>MARINE BOUNDARY-LAYER; OPTICAL-ABSORPTION SPECTROSCOPY; CHEMISTRY; MONOXIDE; MODEL</t>
  </si>
  <si>
    <t>First measurements of iodine oxide (IO) in the Antarctic troposphere are reported. Since March 1999, a newly developed dual channel spectrograph has been continuously performing Differential Optical Absorption Spectroscopy (DOAS) measurements of zenith scattered sunlight at Neumayer-Station, Antarctica (70 degrees 39 ' S, 8 degrees 15 ' W). The spectral signature of IO was clearly detected by observing five vibrational absorption bands located in the wavelength region between 415 and 461 nm. The observed diurnal variation of IO is characterized by a rapid decrease in the differential slant column density (DSCD) with increasing solar zenith angle (SZA) during twilight. This observation points to a fast conversion of reactive iodine into its nighttime reservoir species. It also strongly indicates that the detected IO is located in the troposphere. The decrease of the IO DSCD of up to 1 . 10(14) molec/cm(2) between 80 degrees and 95 degrees SZA is unexpectedly large. Under the assumption that IO is located in the marine boundary layer (MBL) (below 2 km), IO mixing ratios may reach up to similar to 10 ppt. The seasonal variation shows higher IO amounts during summer than during winter. This finding is possibly caused by the smaller distance to the open sea, where the iodocarbons are emitted, and by the more efficient photodissociation of the organic iodine precursors.</t>
  </si>
  <si>
    <t>Univ Heidelberg, Inst Umweltphys, D-69120 Heidelberg, Germany</t>
  </si>
  <si>
    <t>Ruprecht Karls University Heidelberg</t>
  </si>
  <si>
    <t>Friess, U (corresponding author), Univ Heidelberg, Inst Umweltphys, INF 229, D-69120 Heidelberg, Germany.</t>
  </si>
  <si>
    <t>10.1029/2000GL012784</t>
  </si>
  <si>
    <t>431EB</t>
  </si>
  <si>
    <t>WOS:000168617900010</t>
  </si>
  <si>
    <t>Palmer, AS; van Ommen, TD; Curran, MAJ; Morgan, V</t>
  </si>
  <si>
    <t>Ice-core evidence for a small solar-source at atmospheric nitrate</t>
  </si>
  <si>
    <t>LAW-DOME; PROTON EVENTS; ANTARCTIC SNOW; POLAR ICE; RECORD; PRECIPITATION; STRATOSPHERE; SEASONALITY; GREENLAND; CLIMATE</t>
  </si>
  <si>
    <t>A precision-dated ice-core nitrate record from Law Dome, coastal East Antarctica is compared to the timing of known solar proton events and geomagnetic storms over the period 1888 to 1995. We find statistical evidence for a significant (P &lt; 0.03) but small elevation in mean nitrate concentrations following the solar events ( 11% over the 12 months beginning 3 months post-event). While some solar events are identifiable in the nitrate record, most are not distinguishable from the background noisy signal (which has numerous large peaks), and some solar events show no nitrate elevation above even mean levels.</t>
  </si>
  <si>
    <t>Univ Tasmania, Inst Antarctic, Hobart, Tas 7001, Australia; Univ Tasmania, So Ocean Studies, Hobart, Tas 7001, Australia; Antarctic CRC, Hobart, Tas 7001, Australia; Australian Antarctic Div, Hobart, Tas 7001, Australia</t>
  </si>
  <si>
    <t>University of Tasmania; University of Tasmania; Australian Antarctic Division</t>
  </si>
  <si>
    <t>Palmer, AS (corresponding author), Univ Tasmania, Inst Antarctic, GPO Box 252-77, Hobart, Tas 7001, Australia.</t>
  </si>
  <si>
    <t>van Ommen, Tas/B-5020-2012</t>
  </si>
  <si>
    <t>van Ommen, Tas/0000-0002-2463-1718</t>
  </si>
  <si>
    <t>10.1029/2000GL012207</t>
  </si>
  <si>
    <t>WOS:000168617900013</t>
  </si>
  <si>
    <t>Sloyan, BM; Schröter, J</t>
  </si>
  <si>
    <t>Correlation of ocean mass and temperature fluxes among hydrographic sections in the southern oceans</t>
  </si>
  <si>
    <t>ATLANTIC; THERMOCLINE; EXCHANGE; WATER; HEAT</t>
  </si>
  <si>
    <t>Two dominant correlations of ocean mass and temperature fluxes are found among distant hydrographic sections in the southern ocean. Mass transports are highly correlated among sections crossing the Antarctic Circumpolar Current at Drake Passage, south of Africa, and south of Australia, while there is a smaller temperature transport correlation among these sections. A second correlation is found in the mass and temperature fluxes between subtropical sections across the Indian and Pacific Oceans via south of Australia, and a temperature flux correlation between the Indian and the Atlantic Oceans via south of Africa. Knowledge of the property flux correlation among distant hydrographic sections provides information on the role of the Southern Ocean in the global overturning circulation.</t>
  </si>
  <si>
    <t>Alfred Wegener Inst Polar &amp; Marine Res, D-27515 Bremerhaven, Germany; NOAA, Pacific Marine Environm Lab, Seattle, WA 98115 USA</t>
  </si>
  <si>
    <t>Helmholtz Association; Alfred Wegener Institute, Helmholtz Centre for Polar &amp; Marine Research; National Oceanic Atmospheric Admin (NOAA) - USA</t>
  </si>
  <si>
    <t>Sloyan, BM (corresponding author), Alfred Wegener Inst Polar &amp; Marine Res, Postfach 12 01 61, D-27515 Bremerhaven, Germany.</t>
  </si>
  <si>
    <t>Schröter, Jens G/H-8806-2016; Sloyan, Bernadette/N-8989-2014</t>
  </si>
  <si>
    <t>Schröter, Jens G/0000-0002-9240-5798; Sloyan, Bernadette/0000-0003-0250-0167</t>
  </si>
  <si>
    <t>10.1029/2000GL012459</t>
  </si>
  <si>
    <t>WOS:000168617900039</t>
  </si>
  <si>
    <t>Gong, DY; Wang, SW; Zhu, JH</t>
  </si>
  <si>
    <t>East Asian winter monsoon and Arctic Oscillation</t>
  </si>
  <si>
    <t>ANNULAR MODES; EXTRATROPICAL CIRCULATION; ANTARCTIC OSCILLATION; GEOPOTENTIAL HEIGHT; VARIABILITY; CLIMATE; REANALYSIS; INDEX</t>
  </si>
  <si>
    <t>In this study, the connection between Arctic Oscillation (AO) and variability of East Asian winter monsoon is investigated. Two indices are chosen to describe the winter monsoon. One is the intensity of the Siberian High, defined as the average SLP over the center region, and the other is the temperature of eastern China, averaged over 76 surface stations. These are two tightly related components, correlate at -0.62 for period 1951-99. Temperature drops by 0.64 degrees Celsius in association with a one standard deviation increase in Siberian High intensity. It is found that there are significant out-of-phase relationships between the AO and the East Asian winter monsoon. The correlation coefficient between the AO and the Siberian High intensity index is -0.48 for period 1958-98. AO is also significantly correlated with the temperature of eastern China at 0.34. However, when the linear trend is removed, the correlation between AO and temperature is no longer significant. But the strong connection between the AO and Siberian High, and between the Siberian High and temperature are still significant. These results reveal that the AO influences the East Asian winter monsoon through the impact on the Siberian High. Negative phase of the AO is concurrent with a stronger East Asian Trough and an anomalous anticyclonic flow over Urals at the middle troposphere (500hPa); Both the AO and the Eurasian pattern play important roles in changes of the Siberian High and/or East Asian winter monsoon. They account for 13.0% and 36.0% of the variance in the Siberian High respectively.</t>
  </si>
  <si>
    <t>Beijing Normal Univ, Inst Resource Sci, Key Lab Environm Change &amp; Nat Disaster, Beijing 100875, Peoples R China; Peking Univ, Dept Geophys, Beijing 100871, Peoples R China</t>
  </si>
  <si>
    <t>Beijing Normal University; Peking University</t>
  </si>
  <si>
    <t>Gong, DY (corresponding author), Beijing Normal Univ, Inst Resource Sci, Key Lab Environm Change &amp; Nat Disaster, Beijing 100875, Peoples R China.</t>
  </si>
  <si>
    <t>10.1029/2000GL012311</t>
  </si>
  <si>
    <t>WOS:000168617900045</t>
  </si>
  <si>
    <t>Delmdahl, RF; Parker, DH; Eppink, ATJB</t>
  </si>
  <si>
    <t>Short-wavelength photolysis of jet-cooled OClO(2A2 ν1&gt;20)→ClO(X 2ΠΩ,v,J)+O(3PJ)</t>
  </si>
  <si>
    <t>JOURNAL OF CHEMICAL PHYSICS</t>
  </si>
  <si>
    <t>ABSORPTION CROSS-SECTIONS; CHLORINE DIOXIDE; PHOTODISSOCIATION DYNAMICS; VIBRATIONAL DISTRIBUTION; OCLO PHOTODISSOCIATION; STRATOSPHERIC OZONE; IMAGING TECHNIQUES; MODE SPECIFICITY; ANTARCTIC OZONE; STATE</t>
  </si>
  <si>
    <t>Highly inverted vibrational level populations are found for ClO fragments resulting from the UV photodissociation of OClO((2)A(2) nu (1) &gt; 20) into ClO(X (2)Pi (Omega),upsilon ,J) and O(P-3(J)) fragments. These distributions depend significantly on the spin-orbit J state of the oxygen O(P-3(J)) partner atom. In contrast, the ClO rotational excitation is modest. Distinct rotational structure is visible in the O (P-3(J)) photofragment yield spectrum recorded from the highly excited OClO ((2)A(2) nu (1) = 21) vibronic band, which is indicative for hitherto unforeseen long dissociation lifetimes of very highly excited OClO. The data point towards an unexpected nearly-linear and highly asymmetric dissociation geometry. Carrying out near-threshold fragmentation experiments of OClO ((2)A(2)0,0,0)--&gt; ClO (X (2)Pi (3/2) upsilon = 0, J) + O(P-3(2,1,0)) the dissociation energy D-0 of OClO has been accurately determined to 247.3 +/-0.5 kJ/mol. (C) 2001 American Institute of Physics.</t>
  </si>
  <si>
    <t>Univ Nijmegen, Dept Mol &amp; Laser Phys, NL-6525 ED Nijmegen, Netherlands; Univ Bielefeld, Fac Phys, D-33615 Bielefeld, Germany</t>
  </si>
  <si>
    <t>Radboud University Nijmegen; University of Bielefeld</t>
  </si>
  <si>
    <t>Delmdahl, RF (corresponding author), Univ Nijmegen, Dept Mol &amp; Laser Phys, Toernooiveld 1, NL-6525 ED Nijmegen, Netherlands.</t>
  </si>
  <si>
    <t>Parker, David H/F-9688-2015; som, nie/JFK-6681-2023</t>
  </si>
  <si>
    <t>2 HUNTINGTON QUADRANGLE, STE 1NO1, MELVILLE, NY 11747-4501 USA</t>
  </si>
  <si>
    <t>0021-9606</t>
  </si>
  <si>
    <t>J CHEM PHYS</t>
  </si>
  <si>
    <t>J. Chem. Phys.</t>
  </si>
  <si>
    <t>10.1063/1.1367393</t>
  </si>
  <si>
    <t>428BC</t>
  </si>
  <si>
    <t>WOS:000168440400015</t>
  </si>
  <si>
    <t>Bowden, DA; Rowden, AA; Attrill, MJ</t>
  </si>
  <si>
    <t>Effect of patch size and in-patch location on the infaunal macroinvertebrate assemblages of Zostera marina seagrass beds</t>
  </si>
  <si>
    <t>in-patch location; edge effects; macroinvertebrate assemblage; patch size; seagrass; species-area relationship; Zostera marina</t>
  </si>
  <si>
    <t>COMMUNITY STRUCTURE; HABITAT SELECTION; SPATIAL VARIATION; SPECIES RICHNESS; ABUNDANCE; DYNAMICS; DISTURBANCE; BIOMASS; PREDATION; EPIFAUNA</t>
  </si>
  <si>
    <t>Much recent work on patch-occupancy dynamics has been concentrated in terrestrial ecosystems, with few examples evident from soft-sediment marine habitats. Seagrass landscapes have recently been recognised to be potentially ideal marine models for the study of such ecological concepts. Infaunal macroinvertebrate assemblages of two patch sizes of the seagrass Zostera marina were compared: small (&lt; 15 m diameter) and large (&gt; 30 m diameter), using an unreplicated random block design. Further comparison was made between infaunal assemblage composition at the edge and centre of each patch. Univariate statistical analysis of data indicated significantly greater total numbers of taxa in samples from large patches than in small. Multivariate analyses indicated significant differences in assemblage composition due to both patch size and in-patch location, and revealed that differences were due to small changes in the relative abundances of many taxa. Possible mechanisms underlying the observed variations of assemblage composition with patch size and in-patch location are discussed. Although the present results support some of the theories relating to the control of infaunal assemblage composition, explanations are not applicable across all taxonomic groups. At the scale of the present study, seagrass patch size and edge-effects appear to be less significant than 'regional' factors, which relate to relatively small variation in environmental parameters, for the structuring of infaunal macroinvertebrate assemblages. (C) 2001 Published by Elsevier Science B.V.</t>
  </si>
  <si>
    <t>Univ Plymouth, Dept Biol Sci, Benth Ecol Res Grp, Plymouth PL4 8AA, Devon, England</t>
  </si>
  <si>
    <t>University of Plymouth</t>
  </si>
  <si>
    <t>Rowden, Ashley/O-9358-2019; Rowden, Ashley/ABG-6010-2020</t>
  </si>
  <si>
    <t>Attrill, Martin/0000-0002-4039-031X; Rowden, Ashley/0000-0003-2975-2524</t>
  </si>
  <si>
    <t>10.1016/S0022-0981(01)00236-2</t>
  </si>
  <si>
    <t>433RM</t>
  </si>
  <si>
    <t>WOS:000168773600001</t>
  </si>
  <si>
    <t>Gordon, AL; Visbeck, M; Huber, B</t>
  </si>
  <si>
    <t>Export of Weddell Sea Deep and Bottom Water</t>
  </si>
  <si>
    <t>ICE STATION WEDDELL; BRANSFIELD STRAIT; SCOTIA CONFLUENCE; GYRE; STRATIFICATION; FLOW</t>
  </si>
  <si>
    <t>An extensive set of conductivity-temperature-depth (CTD)/lowered acoustic Doppler current profiler (LADCP) data obtained within the northwestern Weddell Sea in August 1997 characterizes the dense water outflow from the Weddell Sea and overflow into the Scotia Sea. Along the outer rim of the Weddell Gyre, there is a stream of relatively low salinity, high oxygen Weddell Sea Deep Water (defined as water between 0 degrees and -0.7 degreesC), constituting a more ventilated form of this water mass than that found farther within the gyre. Its enhanced ventilation is due to injection of relatively low salinity shelf water found near the northern extreme of Antarctic Peninsula's Weddell Sea shelf, shelf water too buoyant to descend to the deep-sea floor. The more ventilated form of Weddell Sea Deep Water flows northward along the eastern side of the South Orkney Plateau, passing into the Scotia Sea rather than continuing along an eastward path in the northern Weddell Sea. Weddell Sea Bottom Water also exhibits two forms: a low-salinity, better oxygenated component confined to the outer rim of the Weddell Gyre, and a more saline, less oxygenated component observed farther into the gyre. The more saline Weddell Sea Bottom Water is derived from the southwestern Weddell Sea, where high-salinity shelf water is abundant. The less saline Weddell Sea Bottom Water, like the more ventilated Weddell Sea Deep Water, is derived from lower-salinity shelf water at a point farther north along the Antarctic Peninsula. Transports of Weddell Sea Deep and Bottom Water masses crossing 44 degreesW estimated from one LADCP survey are 25 x 10(6) and 5 x 10(6) m(3) s(-1), respectively. The low-salinity, better ventilated forms of Weddell Sea Deep and Bottom Water flowing along the outer rim of the Weddell Gyre have the position and depth range that would lead to overflow of the topographic confines of the Weddell Basin, whereas the more saline forms may be forced to recirculate within the Weddell Gyre.</t>
  </si>
  <si>
    <t>agrodon@ldeo.columbia.edu</t>
  </si>
  <si>
    <t>Visbeck, Martin H/B-6541-2016; Visbeck, Martin/G-2461-2011; Gordon, Arnold/H-1049-2011</t>
  </si>
  <si>
    <t>Visbeck, Martin H/0000-0002-0844-834X; Visbeck, Martin/0000-0002-0844-834X; Huber, Bruce/0000-0001-6413-1614</t>
  </si>
  <si>
    <t>C5</t>
  </si>
  <si>
    <t>10.1029/2000JC000281</t>
  </si>
  <si>
    <t>431VW</t>
  </si>
  <si>
    <t>WOS:000168653300004</t>
  </si>
  <si>
    <t>Cai, W; Baines, PG</t>
  </si>
  <si>
    <t>Forcing of the Antarctic Circumpolar Wave by El Nino-Southern Oscillation teleconnections</t>
  </si>
  <si>
    <t>SEA-SURFACE TEMPERATURE; LEVEL PRESSURE; NORTH PACIFIC; INTERANNUAL VARIATIONS; CLIMATE VARIABILITY; LINEAR-RESPONSE; SST ANOMALIES; ENSO SIGNAL; OCEAN; ATMOSPHERE</t>
  </si>
  <si>
    <t>We address several issues regarding the Antarctic Circumpolar Wave (ACW). These include the extent to which the ACW is related to El Nino-Southern Oscillation (ENSO) cycles and the need to reconcile differences between the observed zonal wavenumber 2 pattern and the wavenumber 3 pattern found in coupled ocean-atmosphere models, In the present study we revisit the sea surface temperature (SST) signal of the observed ACW. We find that the associated SST variations may be decomposed into several empirical orthogonal functions (EOFs) that are linearly independent. The first four EOFs describe 84% of the total variance on timescales of 3-7 years, and superposition of SST signals of the four EOFs reproduces SST signals of the observed ACW. Given that EOF analysis can only describe standing oscillations, we then employ complex EOF (CEOF) analysis suitable for studying propagating waves. The first two CEOFs (denoted CEOFSST1 and 2) account for 70% of the total variance, and the SST variability reconstructed from them again reproduces the observed ACW. The real part of CEOFSST1 (44% of the total variance) is similar to the first real EOF (EOFSST1). Both EOFSST1 and CEOFSST1 may be identified with ENSO and have a wavenumber 2 zonal pattern in the southern middle-to-high latitudes. CEOFSST1 is the major constituent of the ACW in the period of 1981-1997. The associated atmospheric circulation displays a Pacific-South America (PSA) pattern. Statistical analyses demonstrate that the PSA pattern teleconnected to ENSO is the major mechanism that forces this principal constituent of the ACW. CEOFSST2 (26% of the total variance) has a zonal wavenumber 3 pattern in the same latitude band, similar to that simulated by several coupled models. We suggest that if ENSO is not adequately resolved in coupled models but structures with zonal wavenumber 3 pattern are, then the modeled ACW would appear to have a zonal wavenumber 3 pattern.</t>
  </si>
  <si>
    <t>CSIRO, Div Atmospher Res, Aspendale, Vic 3195, Australia</t>
  </si>
  <si>
    <t>CSIRO, Div Atmospher Res, 107-121 Stn St,PMB 1, Aspendale, Vic 3195, Australia.</t>
  </si>
  <si>
    <t>wjc@dar.csiro.au; pgb@dar.csiro.au</t>
  </si>
  <si>
    <t>Cai, Wenju/C-2864-2012</t>
  </si>
  <si>
    <t>Cai, Wenju/0000-0001-6520-0829</t>
  </si>
  <si>
    <t>10.1029/2000JC000590</t>
  </si>
  <si>
    <t>WOS:000168653300005</t>
  </si>
  <si>
    <t>Harms, S; Fahrbach, E; Strass, VH</t>
  </si>
  <si>
    <t>Sea ice transports in the Weddell Sea</t>
  </si>
  <si>
    <t>THICKNESS DISTRIBUTION; MASS-BALANCE; OCEAN; SALINITY; MOTION; DRIFT</t>
  </si>
  <si>
    <t>Time series of sea ice draft in the Weddell Sea are evaluated together with hydrographic observations, satellite passive microwave data, and ice drift for estimation of the freshwater fluxes into and out of the Weddell Sea. Ice draft is measured with moored upward looking sonars since 1990 along two transects across the Weddell Gyre. One transect, extending from the tip of the Antarctic Peninsula to Kapp Norvegia, was sampled between 1990 and 1994 and covers the flow into and out of the southern Weddell Sea. The other transect, sampled since 1996 and extending from the Antarctic continent northward along the Greenwich meridian, covers the exchange of water masses between the eastern and the western Weddell Sea. In order to relate results obtained during the different time periods, empirical relationships are established between the length of the sea ice season, derived from the satellite passive microwave data and defined as the number of days per year with the sea ice concentration exceeding 15%, and (1) the annual mean ice draft and (2) the annual mean ice volume transport. By using these empirical relationships, estimates of annual mean ice drafts and ice volume transports are derived at all mooring sites for the period February 1979 through February 1999. Wind and current force a westward ice transport in the coastal areas of the eastern Weddell Sea and a northward ice transport in the west. During the 2-year period 1991/1992 the mean ice volume export from the Weddell Sea is (50 +/- 19) x 10(3) m(3) s(-1). This freshwater export is representative for a longer-term (20-year) mean and exceeds the average amount of freshwater gained by precipitation and ice shelf melt by about 19 x 10(3) m(3) s(-1), yielding an upper bound for the formation rate of newly ventilated bottom water in the Weddell Sea of 2.6 Sv.</t>
  </si>
  <si>
    <t>Univ Kiel, Inst Meereskunde, Dusternbrooker Weg 20, D-24105 Kiel, Germany.</t>
  </si>
  <si>
    <t>sharms@ifm.uni-kiel.de; efahrbach@awi-bremerhaven.de; vhstrass@awi-bremerhaven.de</t>
  </si>
  <si>
    <t>Strass, Volker/0000-0002-7539-1400</t>
  </si>
  <si>
    <t>10.1029/1999JC000027</t>
  </si>
  <si>
    <t>WOS:000168653300007</t>
  </si>
  <si>
    <t>Ondréas, H; Aslanian, D; Géli, L; Olivet, JL; Briais, A</t>
  </si>
  <si>
    <t>Variations in axial morphology, segmentation, and seafloor roughness along the Pacific-Antarctic Ridge between 56°S and 66°S</t>
  </si>
  <si>
    <t>MIDOCEAN RIDGES; LOUISVILLE HOTSPOT; HOLLISTER RIDGE; FRACTURE-ZONE; SEA BEAM; SYSTEM; GEOMORPHOLOGY; TOPOGRAPHY; EVOLUTION; GRAVITY</t>
  </si>
  <si>
    <t>The spreading rate at the Pacific-Antarctic Ridge (PAR) increases rapidly from 54 mm/yr near Pitman Fracture Zone (FZ) up to 76 mm/yr near Udintsev FZ, resulting in three domains of axial morphology: an axial valley south of Pitman FZ, an axial high north of Saint Exupery FZ, and in between, the transitional domain extends over 650 km. It comprises sections of ridge with an axial valley or an axial high and generally displays a very low cross-sectional relief. It is also characterized by two propagating rifts. Two domains of different seafloor roughness appear south of Udintsev FZ: east of 157 degreesW these two domains are separated by a 1000-km V-shaped boundary. West of 157 degreesW, the boundary approximately coincides with Chron 3a or Chron 4. The southward migration of the transitional area during the last 35 Myr explains the V-shaped boundary: (1) increases in spreading rate above a threshold value produced changes in axial morphology; and (2) in the transition zone, rotations of the spreading direction were accommodated by the plate boundary, either by rift propagation or by transitions from fracture zones to non transform discontinuities, leaving trails on the seafloor that presently delineate the V. Seafloor roughness variations are not controlled by exactly the same spreading rate dependence as changes in axial morphology. The transition from rough to smooth seems to have occurred everywhere for spreading rates greater than 50 mm/yr, except in a domain presently centered on Saint-Exupery FZ, where it occurred for spreading rates &gt; 60 to 65 mm/yr. Independent results from melting model calculations of major elements [Vlastelic et al., 2000] indicate that the upper mantle temperature is likely to be cooler between Antipodes and La Rose FZs. The combination of these two results reveals the existence of a 700-km-long segmentation of the upper mantle, with a cool area centered on Saint-Exupery FZ.</t>
  </si>
  <si>
    <t>IFREMER, Dept Geosci Marines, F-29280 Plouzane, France; Observ Midi Pyrenees, Lab Etud Geophys &amp; Oceanog Spatiale, CNRS, F-31401 Toulouse 4, France</t>
  </si>
  <si>
    <t>Ifremer; Universite de Toulouse; Universite Toulouse III - Paul Sabatier; Centre National de la Recherche Scientifique (CNRS); Institut de Recherche pour le Developpement (IRD); Laboratoire d'Etudes en Geophysique et oceanographie spatiales</t>
  </si>
  <si>
    <t>Ondréas, H (corresponding author), IFREMER, Dept Geosci Marines, BP 70, F-29280 Plouzane, France.</t>
  </si>
  <si>
    <t>hondreas@ifremer.fr; Anne.Briais@cnes.fr</t>
  </si>
  <si>
    <t>Aslanian, Daniel/JWA-0851-2024; Briais, Anne/I-1492-2017</t>
  </si>
  <si>
    <t>Aslanian, Daniel/0000-0002-9394-606X; Briais, Anne/0000-0002-0040-6348</t>
  </si>
  <si>
    <t>MAY 10</t>
  </si>
  <si>
    <t>B5</t>
  </si>
  <si>
    <t>10.1029/2000JB900394</t>
  </si>
  <si>
    <t>430UE</t>
  </si>
  <si>
    <t>WOS:000168593200002</t>
  </si>
  <si>
    <t>Barbraud, C; Weimerskirch, H</t>
  </si>
  <si>
    <t>Emperor penguins and climate change</t>
  </si>
  <si>
    <t>SEA-ICE EXTENT; SOUTHERN-OCEAN; APTENODYTES-FORSTERI; MARKED ANIMALS; ANTARCTICA; SURVIVAL; POPULATIONS; TEMPERATURE; TRENDS; WINTER</t>
  </si>
  <si>
    <t>Variations in ocean-atmosphere coupling over time in the Southern Ocean(1-3) have dominant effects on sea-ice extent and ecosystem structure(4-6), but the ultimate consequences of such environmental changes for large marine predators cannot be accurately predicted because of the absence of long-term data series on key demographic parameters(7,8). Here, we use the longest time series available on demographic parameters of an Antarctic large predator breeding on fast ice(9,10) and relying on food resources from the Southern Ocean(11). We show that over the past 50 years, the population of emperor penguins (Aptenodytes forsteri) in Terre Adelie has declined by 50% because of a decrease in adult survival during the late 1970s. At this time there was a prolonged abnormally warm period with reduced sea-ice extent. Mortality rates increased when warm sea-surface temperatures occurred in the foraging area and when annual sea-ice extent was reduced, and were higher for males than for females. In contrast with survival, emperor penguins hatched fewer eggs when winter sea-ice was extended. These results indicate strong and contrasting effects of large-scale oceanographic processes and sea-ice extent on the demography of emperor penguins, and their potential high susceptibility to climate change.</t>
  </si>
  <si>
    <t>CNRS, Ctr Etud Biol Chize, F-79360 Villiers En Bois, France</t>
  </si>
  <si>
    <t>Barbraud, C (corresponding author), CNRS, Ctr Etud Biol Chize, F-79360 Villiers En Bois, France.</t>
  </si>
  <si>
    <t>Weimerskirch, Henri/F-5562-2013; Weimerskirch, Henri/K-7306-2019; Barbraud, Christophe/A-5870-2012</t>
  </si>
  <si>
    <t>Weimerskirch, Henri/0000-0002-0457-586X; Barbraud, Christophe/0000-0003-0146-212X</t>
  </si>
  <si>
    <t>10.1038/35075554</t>
  </si>
  <si>
    <t>430FC</t>
  </si>
  <si>
    <t>WOS:000168563000047</t>
  </si>
  <si>
    <t>The reaction of Cl with CH4:: A connection between kinetics and dynamics</t>
  </si>
  <si>
    <t>QUANTUM SCATTERING CALCULATIONS; LOWER ANTARCTIC STRATOSPHERE; DIFFERENTIAL CROSS-SECTIONS; POTENTIAL-ENERGY SURFACE; LARGE (CO)-C-13 DEFICIT; TRANSITION-STATE THEORY; OZONE HOLE CHEMISTRY; CL+CH4-&gt;HCL+CH3 REACTION; ATOM REACTIONS; CL+CH4-REVERSIBLE-ARROW-HCL+CH3 REACTION</t>
  </si>
  <si>
    <t>This paper presents an analysis of the reaction of Cl with CH4 by combining measurements of thermal rate constants and state-dependent reaction cross sections. State-dependent measurements have shown that the reaction probability is enhanced by vibrational excitation of CH4. Measured thermal rate constants were fit with a model incorporating this information. The results provide estimates of rate constants at extreme temperatures and information about the temperature and collision energy dependence of the vibrational enhancement.</t>
  </si>
  <si>
    <t>MAY</t>
  </si>
  <si>
    <t>10.1021/ar000066z</t>
  </si>
  <si>
    <t>436AK</t>
  </si>
  <si>
    <t>WOS:000168914200001</t>
  </si>
  <si>
    <t>Page, B; Goldsworthy, SD; Hindell, MA</t>
  </si>
  <si>
    <t>Vocal traits of hybrid fur seals: intermediate to their parental species</t>
  </si>
  <si>
    <t>ANIMAL BEHAVIOUR</t>
  </si>
  <si>
    <t>HYBRIDIZATION; EVOLUTION; COMPLEX; CALLS; ANURA; SONG</t>
  </si>
  <si>
    <t>Vocal communication is important for species recognition in colonial breeding species such as fur seals, especially where closely related species that can hybridize breed sympatrically. This is the first study to describe the calls of hybrid fur seals. We investigated whether these vocalizations are intermediate to those of their parental species (Antarctic, Arctocephalus gazella, subantarctic, A. tropicalis, and New Zealand, A. forsteri) and discuss the evolutionary implications of hybrids having intermediate vocal traits. Hybrid males' bark calls were intermediate between two distinct groups formed by A. tropicalis and A. gazella/A. forsteri. Patterns of intermediate call characteristics were also discernible for pup attraction calls (given by females) but not for full threat calls (given by males), nor female attraction calls (given by pups); however, for all call types hybrid calls were distinct from those of their parental species. The pattern of hybrid calls being intermediate is consistent with the expectation that call traits are genetically inherited. (C) 2001 The Association for the Study Animal Behaviour.</t>
  </si>
  <si>
    <t>Univ Tasmania, Sch Zool, Antarctic Wildlife Res Unit, Hobart, Tas, Australia</t>
  </si>
  <si>
    <t>Univ Tasmania, Sch Zool, Antarctic Wildlife Res Unit, GPO Box 252-02, Hobart, Tas, Australia.</t>
  </si>
  <si>
    <t>b.page@zoo.latrobe.edu.au</t>
  </si>
  <si>
    <t>Hindell, Mark A/K-1131-2013; Hindell, Mark A/C-8368-2013</t>
  </si>
  <si>
    <t>Hindell, Mark/0000-0002-7823-7185; Goldsworthy, Simon/0000-0003-4988-9085</t>
  </si>
  <si>
    <t>0003-3472</t>
  </si>
  <si>
    <t>1095-8282</t>
  </si>
  <si>
    <t>ANIM BEHAV</t>
  </si>
  <si>
    <t>Anim. Behav.</t>
  </si>
  <si>
    <t>10.1006/anbe.2000.1663</t>
  </si>
  <si>
    <t>Behavioral Sciences; Zoology</t>
  </si>
  <si>
    <t>443UT</t>
  </si>
  <si>
    <t>WOS:000169360600011</t>
  </si>
  <si>
    <t>Hays, GC; Åkesson, S; Godley, BJ; Luschi, P; Santidrian, P</t>
  </si>
  <si>
    <t>The implications of location accuracy for the interpretation of satellite-tracking data</t>
  </si>
  <si>
    <t>SOUTHERN ELEPHANT SEALS; TURTLES CARETTA-CARETTA; ANTARCTIC FUR SEALS; MOVEMENTS; TELEMETRY; PERFORMANCE; MIGRATION; WATERS</t>
  </si>
  <si>
    <t>Univ Wales, Sch Biol Sci, Swansea SA2 8PP, W Glam, Wales; Univ Lund, Dept Anim Ecol, SE-23362 Lund, Sweden; Univ Pisa, Dipartimento Etol, I-56126 Pisa, Italy</t>
  </si>
  <si>
    <t>Swansea University; Lund University; University of Pisa</t>
  </si>
  <si>
    <t>Hays, GC (corresponding author), Univ Wales, Sch Biol Sci, Swansea SA2 8PP, W Glam, Wales.</t>
  </si>
  <si>
    <t>Santidrián Tomillo, Pilar/N-5406-2014; Godley, Brendan J/A-6139-2009; Åkesson, Susanne/F-3175-2015</t>
  </si>
  <si>
    <t>Godley, Brendan J/0000-0003-3845-0034; Åkesson, Susanne/0000-0001-9039-2180; Hays, Graeme/0000-0002-3314-8189; Santidrian Tomillo, Pilar/0000-0002-6895-7218; Luschi, Paolo/0000-0001-7081-3507</t>
  </si>
  <si>
    <t>10.1006/anbe.2001.1685</t>
  </si>
  <si>
    <t>WOS:000169360600021</t>
  </si>
  <si>
    <t>Evidence for thermospheric gravity waves in the southern polar cap from ground-based vertical velocity and photometric observations</t>
  </si>
  <si>
    <t>meteorology and atmospheric dynamics thermospheric dynamics; waves and tides</t>
  </si>
  <si>
    <t>LATITUDE IONOSPHERE; AURORAL LATITUDES; PROPAGATION; WINDS; GENERATION; ANTARCTICA; BOUNDARY; MAWSON; DISTURBANCES; DEPENDENCE</t>
  </si>
  <si>
    <t>Zenith-directed Fabry-Perot Spectrometer (FPS) and 3-Field Photometer (3FP) observations of the lambda 630 nm emission (similar to 240 km altitude) were obtained at Davis station, Antarctica, during the austral winter of 1999. Eleven nights of suitable data were searched for significant periodicities common to vertical winds from the FPS and photometric variations from the 3FP. Three wave-like events were found, each of around one or more hours in duration, with periods around 15 minutes, vertical velocity amplitudes near 60 ms(-1), horizontal phase velocities around 300 m s(-1), and horizontal wavelengths from 240 to 400 km. These characteristics appear consistent with polar cap gravity waves seen by other workers, and we conclude this is a likely interpretation of our data. Assuming a source height near 125 km altitude, we determine the approximate source location by calculating back along the wave trajectory using the gravity wave property relating angle of ascent and frequency. The wave sources appear to be in the vicinity of the poleward border of the auroral oval. at magnetic local times up to 5 hours before local magnetic midnight.</t>
  </si>
  <si>
    <t>Australian Antarctic Div, Kingston, Tas 7050, Australia; La Trobe Univ, Bundoora, Vic 3083, Australia</t>
  </si>
  <si>
    <t>Innis, JL (corresponding author), Australian Antarctic Div, Kingston, Tas 7050, Australia.</t>
  </si>
  <si>
    <t>10.5194/angeo-19-533-2001</t>
  </si>
  <si>
    <t>453DJ</t>
  </si>
  <si>
    <t>WOS:000169901000004</t>
  </si>
  <si>
    <t>Olesen, B; Maberly, SC</t>
  </si>
  <si>
    <t>The effect of high levels of visible and ultra-violet radiation on the photosynthesis of phytoplankton from a freshwater lake</t>
  </si>
  <si>
    <t>oxygen production; PAR; UV-radiation; production; inhibition</t>
  </si>
  <si>
    <t>SOLAR ULTRAVIOLET-RADIATION; STRATOSPHERIC OZONE DEPLETION; B RADIATION; ANTARCTIC PHYTOPLANKTON; MARINE DIATOM; ENGLISH LAKE; UV-A; INHIBITION; CARBON; ASSEMBLAGES</t>
  </si>
  <si>
    <t>Rates of oxygen production of a natural population of phytoplankton from a freshwater lake were measured in situ at mid-summer under near-maximal irradiances for PAR (400-700 nm), UV-B (280-315 nm) and UV-A (320-400 nm). The radiation climate was altered by incubation at different depths, and hence different PAR, and by using flasks which cut-off different amounts of UV-radiation: quartz flasks transmitted all wavelengths &gt;280 nm, glass flasks had a 50 % transmission at 309 nm and glass flasks with a plastic shield had 50 % transmission at 354 nm. At 0.01 and 0.11 m, rates of oxygen consumption in the light were greater than dark respiration in all flasks. but were particularly high in the full UV treatment. possibly as a result of photochemical degradation of dissolved organic carbon. Gross oxygen production was achieved in all flask types at depths of 0.41, 0.53 and 1.1m but rates were lowest under the full UV-spectrum. An ANOVA showed a significant variation in rate of gross photosynthesis with depth and type of flask. A multiple-regression against received flux of PAR, UVA and UV-B explained 81 % of the variation in gross photosynthesis but oo-variation of irradiance with depth prevented the effect of the different wavebands to be separated statistically. The biological weighting function of CULLEN et al. (1992) for the inhibition of photosynthesis by ultraviolet radiation for a marine phytoplankter, explained 80 % of the variation in our data but we could not distinguish between two scenarios with different sensitivity to UV radiation. Extrapolation to in-situ conditions suggested that UV-A radiation was more inhibitory than UV-B radiation.</t>
  </si>
  <si>
    <t>Ctr Ecol &amp; Hydrol Windermere, Ambleside LA22 0LP, Cumbria, England; Aarhus Univ, Dept Plant Ecol, DK-8240 Risskov, Denmark</t>
  </si>
  <si>
    <t>UK Centre for Ecology &amp; Hydrology (UKCEH); Aarhus University</t>
  </si>
  <si>
    <t>Ctr Ecol &amp; Hydrol Windermere, Ferry House,Far Sawrey, Ambleside LA22 0LP, Cumbria, England.</t>
  </si>
  <si>
    <t>BIRGIT.OLESEN@BIOLOGY.AU.DK; SCM@CEH.AC.UK</t>
  </si>
  <si>
    <t>Maberly, Stephen C/J-3361-2012; Olesen, Birgit/K-1997-2013</t>
  </si>
  <si>
    <t>Olesen, Birgit/0000-0002-8864-6716</t>
  </si>
  <si>
    <t>437VZ</t>
  </si>
  <si>
    <t>WOS:000169015400007</t>
  </si>
  <si>
    <t>Takeuchi, N; Kohshima, S; Seko, K</t>
  </si>
  <si>
    <t>Structure, formation, and darkening process of albedo-reducing material (cryoconite) on a Himalayan glacier: A granular algal mat growing on the glacier</t>
  </si>
  <si>
    <t>SNOW; ICE</t>
  </si>
  <si>
    <t>Dark-colored material (cryoconite) covering Himalayan glaciers has been reported to greatly accelerate glacier-melting by reducing surface albedo. Structure, formation, and the darkening process of the cryoconite on a Himalayan glacier were analyzed. The cryoconite was revealed to be a stromatolite-like algal mat, a product of microbial activity on the glacier. The granular algal mat contains filamentous blue-green algae (cyanobacteria) and bacteria, and grows on the ice by trapping mineral and organic particles. This structure seems to enable high algal production in nutrient poor glacial meltwater by gathering and keeping nutrient rich particles inside. The dark coloration of the mats promotes melt-hole formation on the ice (cryoconite holes), providing a semistagnant aquatic habitat for various algae and animals in the glacier. Optical and chemical analyses of the cryoconite strongly suggests that their high light- absorbency (dark coloration) is mainly due to dark-colored humic substances, residues from bacterial decomposition of the algal products and other organic matter. Our results strongly suggest that biological activity on the glacier substantially affects the albedo of the glacier surface. The structure of the algal mat seems to be important in the glacier ecosystem and biological process affecting glacier albedo.</t>
  </si>
  <si>
    <t>Univ Alaska Fairbanks, Int Arctic Res Ctr, Frontier Observat Res Syst Global Change, Fairbanks, AK 99775 USA; Tokyo Inst Technol, Fac Sci, Fac Biosci &amp; Biotechnol, Biol Lab,Meguro Ku, Tokyo 1528551, Japan; Nagoya Univ, Inst Hydrospher Atmospher Sci, Nagoya, Aichi 4648601, Japan</t>
  </si>
  <si>
    <t>University of Alaska System; University of Alaska Fairbanks; Tokyo Institute of Technology; Nagoya University</t>
  </si>
  <si>
    <t>Univ Alaska Fairbanks, Int Arctic Res Ctr, Frontier Observat Res Syst Global Change, 930 Koyukuk Dr,POB 757335, Fairbanks, AK 99775 USA.</t>
  </si>
  <si>
    <t>nozomu@iarc.uaf.edu</t>
  </si>
  <si>
    <t>Takeuchi, Nozomu/Q-7869-2016</t>
  </si>
  <si>
    <t>Takeuchi, Nozomu/0000-0002-3267-5534</t>
  </si>
  <si>
    <t>10.2307/1552211</t>
  </si>
  <si>
    <t>440KQ</t>
  </si>
  <si>
    <t>WOS:000169174800001</t>
  </si>
  <si>
    <t>Larter, NC; Nagy, JA</t>
  </si>
  <si>
    <t>Variation between snow conditions at Peary caribou and muskox feeding sites and elsewhere in foraging habitats on banks island in the Canadian High Arctic</t>
  </si>
  <si>
    <t>NORTHWEST-TERRITORIES; WINTER; DYNAMICS; COVER</t>
  </si>
  <si>
    <t>Between October 1993 and May 1998 we measured snow depth (cm), density (g cm(-3)), and resistance (kg x cm) adjacent to 53 Peary caribou (Rangifer tarandus pearyi) and 134 muskox (Ovibos moschatus) feeding craters on Banks Island in the Canadian High Arctic. Measurements were taken in early (26 October-18 November), mid- (12 February-1 March), and late-winter (20 April-4 May). Concurrently, we recorded snow depth, density, and resistance along fixed transects in the four habitats used by foraging caribou and muskoxen. Caribou craters were found predominantly (94%) in upland habitats; upland barren (UB), hummock tundra (HT), and stony barren (SB). Caribou abandoned craters in the more rolling UB and HT when snow was shallower, less dense, and less resistant than average snow conditions in these habitats; in most cases the differences were significant (P &lt; 0.01). In SB, the habitat with the shallowest snow, caribou cratered through snow conditions similar to the average found in this habitat. During winter 1994-95, when snow depth, density, and resistance was greatest, we located caribou craters only in SB. Muskox craters were found almost exclusively (96%) in wet sedge meadows (WSM); the habitat with deepest snow. Muskoxen abandoned crater sites when snow depth, density, and resistance was less (P &lt; 0.01) than average conditions in WSM, regardless of animal density. Muskoxen in low density areas were faced with deeper snow, particularly in late- winter, and they abandoned crater sites when snow depth was greater (P &lt; 0.004) than muskoxen in high density areas. During winter 1994-95, muskox cratered through deeper, denser, and more resistant snow than during winter 1997-98 when snow conditions were the least severe of the study. We discuss our results in relation to the population dynamics of Peary caribou and muskoxen on Banks Island.</t>
  </si>
  <si>
    <t>Govt NW Terr, Dept Resources Wildlife &amp; Econ Dev, Inuvik, NT X0E 0T0, Canada</t>
  </si>
  <si>
    <t>Govt NW Terr, Dept Resources Wildlife &amp; Econ Dev, Bag Serv 1, Inuvik, NT X0E 0T0, Canada.</t>
  </si>
  <si>
    <t>nic_larter@gov.nt.ca</t>
  </si>
  <si>
    <t>10.2307/1552212</t>
  </si>
  <si>
    <t>WOS:000169174800002</t>
  </si>
  <si>
    <t>Kershaw, GP</t>
  </si>
  <si>
    <t>Snowpack characteristics following wildfire on a simulated transport corridor and adjacent subarctic forest, Tulita, NWT, Canada</t>
  </si>
  <si>
    <t>SALIX-ARBUSCULOIDES; FIRE</t>
  </si>
  <si>
    <t>A simulated transport corridor research site established in a permafrost-affected upland black spruce forest in 1984 was burned by a wildfire in 1995. A data set consisting of four mid-winter snow surveys conducted prior to the fire was supplemented by two postfire surveys (including a new, unburned forest control). Mean daily winter winds increased significantly on the cleared rights-of-way/simulated pipeline trench (ROW/trench). Increased winds were attributed to postfire reductions in stem density and surface roughness, which offered less resistance to the wind. Maximum winter winds were not significantly greater at 1.5 m on the postfire ROW/trench where the postfire modification of the forest reduced funnelling and acceleration of winds along the cleared ROW/trench. ROW/trench snowpack depth increased and water equivalence declined after the fire, except in leading-edge forest sites where the reverse occurred. Depth and water equivalence changes resulted from the altered wind regime, where reduction in effective wind erosion on ROW/trench locations left more snow in these areas and reduced the amount available for deposition in leading-edge forest sites. The postfire snowpack was generally less dense on the anthropogenic disturbances, and with greater insulation potential, less heat loss should occur through the snowpack. The postfire forest snowpack was unchanged in comparison to prefire characteristics which suggests that thaw season conditions have the greatest effect on active layer thickening and surface subsidence following wildfire.</t>
  </si>
  <si>
    <t>Univ Alberta, Dept Earth &amp; Atmospher Sci, Edmonton, AB T6G 2E3, Canada</t>
  </si>
  <si>
    <t>University of Alberta</t>
  </si>
  <si>
    <t>Univ Alberta, Dept Earth &amp; Atmospher Sci, Edmonton, AB T6G 2E3, Canada.</t>
  </si>
  <si>
    <t>peter.kershaw@ualberta.ca</t>
  </si>
  <si>
    <t>10.2307/1552213</t>
  </si>
  <si>
    <t>WOS:000169174800003</t>
  </si>
  <si>
    <t>Klene, AE; Nelson, FE; Shiklomanov, NI; Hinkel, KM</t>
  </si>
  <si>
    <t>The n-factor in natural landscaper: Variability of air and soil-surface temperatures, Kuparuk River basin, Alaska, USA</t>
  </si>
  <si>
    <t>ACTIVE-LAYER THICKNESS; NORTH-CENTRAL ALASKA; ARCTIC ALASKA; TUNDRA; THAW; FLUX; MOISTURE; BALANCE; CANADA; ENERGY</t>
  </si>
  <si>
    <t>The n-factor, or ratio of the seasonal degree-day sum at the soil surface to that in the air at standard screen height, has been used for more than 40 yr in engineering studies to parameterize the temperature regime at the ground surface. Conceptually, this index represents the complex energy balance at the surface as a single dimensionless number and has applications in ecology, climatology, and geocryology. Although the n-factor has been used theoretically to represent the thermal regime of undisturbed natural surfaces, lack of empirical data has hindered its widespread implementation. Nine ground and one air temperature series (1995-97) from each of ten 1-ha plots on the coastal plain and Brooks Range foothills of north-central Alaska were converted to thawing (summer) n-factors and analyzed to address within- and between-plot spatial and temporal variability. Although substantial microscale variation exists, n-factors corresponding to natural vegetation/soil classes are discernable. Incorporation of n-factor values in a standard solution for the depth of thaw resulted in significantly improved estimates of active-layer thickness throughout the study area. The n-factor has considerable potential for addressing problems involving near-surface climate dynamics over extensive regions and long time periods.</t>
  </si>
  <si>
    <t>Univ Delaware, Dept Geog, Newark, DE 19716 USA; Univ Delaware, Ctr Climat Res, Newark, DE 19716 USA; Univ Cincinnati, Dept Geog, Cincinnati, OH 45221 USA</t>
  </si>
  <si>
    <t>University of Delaware; University of Delaware; University System of Ohio; University of Cincinnati</t>
  </si>
  <si>
    <t>Klene, AE (corresponding author), Univ Delaware, Dept Geog, Newark, DE 19716 USA.</t>
  </si>
  <si>
    <t>Klene, Anna/GXF-6495-2022</t>
  </si>
  <si>
    <t>Klene, Anna/0000-0002-0579-1628; Shiklomanov, NIkolay/0000-0002-8609-0240</t>
  </si>
  <si>
    <t>10.2307/1552214</t>
  </si>
  <si>
    <t>WOS:000169174800004</t>
  </si>
  <si>
    <t>Lafleur, PM; Griffis, TJ; Rouse, WR</t>
  </si>
  <si>
    <t>Interannual variability in net ecosystem CO2 exchange at the arctic treeline</t>
  </si>
  <si>
    <t>TUNDRA ECOSYSTEMS; CLIMATE-CHANGE; BOREAL FOREST; FLUX MEASUREMENTS; EDDY-CORRELATION; GROWING-SEASON; NORTHERN; SENSITIVITY; VAPOR; PRODUCTIVITY</t>
  </si>
  <si>
    <t>Net ecosystem exchange (NEE) of carbon dioxide was measured at treeline forest and fen tundra sites near Churchill, Canada during three consecutive growing seasons (1997-1999). Although both sites demonstrated a net uptake of CO2 in each of the years, there was considerable variation in the flux between sites and between years. Mean daily NEE at the forest varied from -1.5 (+/-0.25 SD) g CO2 m(-2) d(-1) in 1997 to -7.3 (+/-0.39) g CO2 m(-2) d(-1) in 1999. The fen mean daily NEE varied from -1.1 (+/-0.36) g CO2 m(-2) d(-1) in 1997 to -3.1 (+/-0.50) g CO2 m(-2) d(-1) in 1998. Integrated over the 65-d measurement period the forest was a net sink of -100, -313, and -478 g CO2 m(-2) in 1997, 1998, and 1999, respectively, and the fen net sink was -73, -202, and -38 g CO2 m(-2), respectively. Interannual variations in the fen NEE were closely related to water table draw-down (soil wetness), the forest NEE was unaffected by water table change. The forest seasonally cumulative NEE was closely associated with timing of snowmelt and accumulated heat content prior to leaf-out. Earlier snowmelt and greater heat accumulation produced a larger growing season sink. It is likely these events also influenced the fen NEE, but the relationship is complicated by water table effects. These results suggest that carbon dioxide exchange varies considerably across the northern treeline, and that there may be an important biospheric feedback between climate warming, treeline advance, and carbon cycling.</t>
  </si>
  <si>
    <t>Trent Univ, Dept Geog, Peterborough, ON K9J 7B8, Canada; McMaster Univ, Sch Geog &amp; Geol, Hamilton, ON L8S 4K1, Canada</t>
  </si>
  <si>
    <t>Trent University; McMaster University</t>
  </si>
  <si>
    <t>Lafleur, PM (corresponding author), Trent Univ, Dept Geog, Peterborough, ON K9J 7B8, Canada.</t>
  </si>
  <si>
    <t>Griffis, Timothy J/A-5707-2011</t>
  </si>
  <si>
    <t>Griffis, Timothy/0000-0002-2111-5144</t>
  </si>
  <si>
    <t>10.2307/1552215</t>
  </si>
  <si>
    <t>WOS:000169174800005</t>
  </si>
  <si>
    <t>Suárez, E; Medina, G</t>
  </si>
  <si>
    <t>Vegetation structure and soil properties in Ecuadorian paramo grasslands with different histories of burning and grazing</t>
  </si>
  <si>
    <t>IMPACT</t>
  </si>
  <si>
    <t>High-altitude grasslands in the north Andes (paramos) are subject to frequent fires that are usually set by farmers to support traditional cattle-raising systems. Apparently, this practice has caused dramatic changes in the structure and composition of native vegetation, but the mechanisms, magnitude, and direction of these changes still need to be documented for a broader range of conditions. This paper describes the differences in selected soil properties, ground cover, grass tussock structure, and populations of giant Andean rosettes (Espeletia pyenophylla) in four paramo sites in northwestern Ecuador, characterized by contrasting patterns of burning and grazing. The only differences between the soil properties of the sites were the higher pH in the least disturbed site, and the high concentration of P in the more recently burned site. Along the sequence of least impacted to most impacted sites, we observed a decrease in grass tussock cover, and an increase in the amount of bare ground and number of fragments per tussock. In the most undisturbed site tussock coverage was extremely low due to the dominance of shrubs. The density of giant Andean rosettes was higher in the sites with intermediate disturbance regimes, while the mortality of adult stem rosettes was significantly higher at the more recently burned site. The significance of these differences is discussed in the context of the regeneration of paramo, vegetation after burning and grazing disturbance.</t>
  </si>
  <si>
    <t>EcoCiencia, Quito, Ecuador</t>
  </si>
  <si>
    <t>Suárez, E (corresponding author), Cornell Univ, Dept Nat Resources, Fernow Hall, Ithaca, NY 14853 USA.</t>
  </si>
  <si>
    <t>WOS:000169174800006</t>
  </si>
  <si>
    <t>Young, KR; Keating, PL</t>
  </si>
  <si>
    <t>Remnant forests of Volcan Cotacachi, northern Ecuador</t>
  </si>
  <si>
    <t>TIMBERLINE; VEGETATION; EDGE</t>
  </si>
  <si>
    <t>This study documents the characteristics of upper montane forests within Cotacachi-Cayapas Ecological Reserve, a protected area in northern Ecuador. On Cotacachi Volcano, there are remnants of forest vegetation extending from about 3650 m down to a crater lake at 3150 m. We examined these forests at four sites located within a deep ravine; the forests were sampled with 50 x 10 m inventory plots placed at 100 m elevation intervals between 3630 and 3330 m. We noted changes in vegetation composition and structure along the altitudinal gradient, as well as variation in these parameters with distance from the forest edge. There were important differences in structure and composition with elevation, but some were unexpected and appear to be related to the influences of past anthropogenic disturbances. For example, the trees at the higher elevations were taller and more massive, suggesting they had not been cut or burned by escaped grassland fires, processes known to have occurred at lower elevations. Little evidence of edge effect was documented within the plots, which is expected if deforestation has converted most of the forest into edge habitat. These patterns may be typical of other remnant forests in the Andes, and provide a basis for understanding the nature of human impact on Andean forests.</t>
  </si>
  <si>
    <t>Univ Maryland Baltimore Cty, Dept Geog &amp; Environm Syst, Baltimore, MD 21250 USA; Univ Miami, Dept Geog &amp; Reg Studies, Coral Gables, FL 33124 USA</t>
  </si>
  <si>
    <t>University System of Maryland; University of Maryland Baltimore County; University of Miami</t>
  </si>
  <si>
    <t>Young, KR (corresponding author), Univ Texas, Dept Geog, Austin, TX 78712 USA.</t>
  </si>
  <si>
    <t>kryoung@mail.utexas.edu; keating@miami.edu</t>
  </si>
  <si>
    <t>Young, Kenneth R./0000-0003-0866-1260</t>
  </si>
  <si>
    <t>10.2307/1552217</t>
  </si>
  <si>
    <t>WOS:000169174800007</t>
  </si>
  <si>
    <t>Heide, OM; Solhaug, KA</t>
  </si>
  <si>
    <t>Growth and reproduction capacities of two bipolar Phleum alpinum populations from Norway and South Georgia</t>
  </si>
  <si>
    <t>DRY-MATTER PRODUCTION; LIGHT ENVIRONMENT; SPECTRAL QUALITY; POA-PRATENSIS; ACCLIMATION; PHOTOSYNTHESIS; PHOTOPERIOD; IRRADIANCE; GRASSES; COLD</t>
  </si>
  <si>
    <t>Growth and development of two populations of Phleum alpinum L. from South Georgia (54 degrees 20'S) and the Rondane Mountains in Norway (61 degrees 42'N) were studied in controlled environment in order to test the feasibility of transequatorial migration of this bipolar species. The South Georgia population flowered more sparsely, but had much higher vegetative reproduction capacity than the Rondane population. Both had an obligatory low temperature and/or short day (SD) requirement for inflorescence initiation. Although heading and inflorescence development were enhanced by long days (LD) and higher temperature, neither population had any obligatory LD requirement for flowering. No adaptation in the flowering requirements would thus have been required for a step by step migration of this bipolar species on mountain tops across the equator. Relative growth rate (RGR) and dry matter production per plant were stimulated by LD in both populations, despite reduction in photosynthetic capacity and chlorophyll content compared with SD conditions. The main driving force for increased production in LD was LD-stimulation of individual and total leaf area which more than compensated for reduced photosynthesis per unit leaf area. Relative growth rate, photosynthetic capacity, and chlorophyll content were less in South Georgia than Rondane plants, while specific leaf area and shoot/root ratio were higher in the former. Chlorophyll a/b ratios were always higher in South Georgia than Rondane plants while they increased markedly with decreasing temperature, and were always higher under SD than LD conditions in both population. Possible consequences for photosystem acclimation are discussed.</t>
  </si>
  <si>
    <t>Agr Univ Norway, Dept Biol &amp; Nat Conservat, N-1432 As, Norway</t>
  </si>
  <si>
    <t>Heide, OM (corresponding author), Agr Univ Norway, Dept Biol &amp; Nat Conservat, POB 5014, N-1432 As, Norway.</t>
  </si>
  <si>
    <t>ola.heide@ibn.nlh.no</t>
  </si>
  <si>
    <t>10.2307/1552218</t>
  </si>
  <si>
    <t>WOS:000169174800008</t>
  </si>
  <si>
    <t>Kudo, G; Molau, U; Wada, N</t>
  </si>
  <si>
    <t>Leaf-trait variation of tundra plants along a climatic gradient: an integration of responses in evergreen and deciduous species</t>
  </si>
  <si>
    <t>LIFE-SPAN; INTRASPECIFIC VARIATION; MINERAL-NUTRITION; LONGEVITY; GROWTH; COST; PHOTOSYNTHESIS; ALLOCATION; HERBIVORY; ECONOMY</t>
  </si>
  <si>
    <t>To understand response patterns of leaf traits in tundra plants against decreasing annual season length comprehensively, a graphic model based on carbon balance theory was presented. The model predicted that leaves with very short life-span and high nitrogen concentration (N-mass) or leaves with very long lift-span and small N-mass will be dominate under the conditions of a short growing season. To test this prediction, leaf life-span and other leaf traits of 26 tundra species were compared among four sites selected along a gradient of climatic harshness: a subalpine site at Abisko in northern Sweden, two nearby mid-alpine sites at Latnjajaure with early and late snowmelt, and a site at Ny-Alesund (Svalbard) in the High Arctic. In herbaceous and deciduous shrub species, leaf life-span and/or leaf mass per unit area (LMA) tended to decrease, and leaf N-mass tended to increase along the climatic gradient with decreasing growing season and lower temperatures. In evergreen shrub species, both leaf life-span and leaf N-mass tended to increase under harsh conditions, but the response pattern of LMA was less clear. Deciduous species produced short-lived leaves with a low construction cost and probably high photosynthetic potential, whereas evergreen species produced long-lived leaves. The contrastive patterns of leaf-trait variation between the deciduous and evergreen plants observed in this study were concordant with the prediction of the model.</t>
  </si>
  <si>
    <t>Hokkaido Univ, Grad Sch Environm Earth Sci, Sapporo, Hokkaido 0600810, Japan; Univ Gothenburg, Inst Bot, SE-40530 Gothenburg, Sweden; Toyama Univ, Fac Sci, Dept Biosphere Sci, Toyama 9300887, Japan</t>
  </si>
  <si>
    <t>Hokkaido University; University of Gothenburg; University of Toyama</t>
  </si>
  <si>
    <t>gaku@ees.hokudai.ac.jp</t>
  </si>
  <si>
    <t>Kudo, Gaku/A-2733-2015</t>
  </si>
  <si>
    <t>Kudo, Gaku/0000-0002-6488-818X</t>
  </si>
  <si>
    <t>10.2307/1552219</t>
  </si>
  <si>
    <t>WOS:000169174800009</t>
  </si>
  <si>
    <t>Wastl, M; Stötter, J; Caseldine, C</t>
  </si>
  <si>
    <t>Reconstruction of holocene variations of the upper limit of tree or shrub birch growth in northern Iceland based on evidence from Vesturardalur-Skipartial derivativeadalur, Trollaskagi</t>
  </si>
  <si>
    <t>POLLEN; LAKE</t>
  </si>
  <si>
    <t>For paleoclimatic reconstructions based on vegetation history in Iceland, the upper limit of tree or shrub birch growth has been proposed as an indicator of summer temperature. Plant macrofossil and pollen analyses of a series of sections and cores from Vesturardalur on Trollaskagi show that Betula pubescens grew up to an altitude between 450 and 500 m a.s.l. during optimum conditions in the Holocene. The birch pollen and macrofossil record of core Vesturardalur 2 at ca. 450 m a.s.l., which covers the time from ca. 9200 BP to present, thus represents the first continuous high-resolution reconstruction of the variations of Betula pubescens at the ecological upper limit of tree or shrub birch in northern Iceland. Between ca. 6700 and ca. 6000 BP, a distinct maximum in the influx of Betula pubescens pollen at this site indicates a high position of the shrub line. This can be distinguished from a low influx of tree or shrub birch pollen from ca. 6000 to ca. 5600 BP, and a very pronounced minimum of Betula pubescens in the pollen record around ca. 3300 BP. The inferred depressions of the shrub line can be correlated with evidence for glacier advances and increased slope activity in northern Iceland.</t>
  </si>
  <si>
    <t>Univ Bremen, Dept Phys Geog, D-28334 Bremen, Germany; Univ Innsbruck, Inst Geog, A-6020 Innsbruck, Austria; Univ Exeter, Sch Geog &amp; Archaeol, Dept Geog, Exeter EX4 4RJ, Devon, England</t>
  </si>
  <si>
    <t>University of Bremen; University of Innsbruck; University of Exeter</t>
  </si>
  <si>
    <t>Wastl, M (corresponding author), Univ Bremen, Dept Phys Geog, POB 330440, D-28334 Bremen, Germany.</t>
  </si>
  <si>
    <t>Maria.Wastl@uibk.ac.at; Hans.Stoetter@uibk.ac.at; C.J.Caseldine@exeter.ac.uk</t>
  </si>
  <si>
    <t>Stotter, Johann/0000-0002-7750-988X</t>
  </si>
  <si>
    <t>10.2307/1552220</t>
  </si>
  <si>
    <t>WOS:000169174800010</t>
  </si>
  <si>
    <t>Semenov, Y; Ramousse, R; Le Berre, M; Tutukarov, Y</t>
  </si>
  <si>
    <t>Impact of the black-capped marmot (Marmota camtschatica bungei) on floristic diversity of arctic tundra in Northern Siberia</t>
  </si>
  <si>
    <t>MIXED-GRASS PRAIRIE; VEGETATION; GROWTH; FERTILIZATION; HERBIVORES; BURROWS</t>
  </si>
  <si>
    <t>The impact of black-capped marmots on arctic tundra vegetation was examined by descriptive and quantitative methods in three marmot home ranges. Vegetation in the home range core area (main burrows) differed from the peripheral zone (secondary burrows, paths, scratching areas) or from marmot-free tundra area. In main burrow plots species richness, diversity,and equitability were low. In the same places graminoid abundance were increased, whereas dominance of shrubs and presence of cryptogams (bryophytes and lichens) were declined. Some forbs were more often found around marmot main burrows. Some of these are rare and listed as protected species in Siberian Arctic tundra. This suggests that through activities such as burrowing, trampling, and excretion black-capped marmots modify microrelief and soil properties, which influence the floristic structure and composition of the arctic tundra.</t>
  </si>
  <si>
    <t>Univ Lyon 1, Lab Biometrie &amp; Biol Evolut, Equipe Socioecol &amp; Conservat, CNRS,UMR 5558, F-69622 Villeurbanne, France; Yakutsk State Univ, Fac Biol, Yakutsk 677891, Russia</t>
  </si>
  <si>
    <t>Centre National de la Recherche Scientifique (CNRS); CNRS - Institute of Ecology &amp; Environment (INEE); Universite Claude Bernard Lyon 1; VetAgro Sup; North-Eastern Federal University in Yakutsk</t>
  </si>
  <si>
    <t>Ramousse, R (corresponding author), Univ Lyon 1, Lab Biometrie &amp; Biol Evolut, Equipe Socioecol &amp; Conservat, CNRS,UMR 5558, 43 Bd 11 Novembre 1918 Bat 403, F-69622 Villeurbanne, France.</t>
  </si>
  <si>
    <t>ramousse@biomserv.univ-lyon1.fr</t>
  </si>
  <si>
    <t>10.2307/1552221</t>
  </si>
  <si>
    <t>WOS:000169174800011</t>
  </si>
  <si>
    <t>Williams, M; Dowdeswell, JA</t>
  </si>
  <si>
    <t>Historical fluctuations of the Matusevich Ice Shelf, Severnaya Zemlya, Russian High Arctic</t>
  </si>
  <si>
    <t>ANTARCTIC PENINSULA; LANDSAT IMAGERY; EAST GREENLAND; ICEBERGS; DEPOSITION; GLACIERS; RETREAT; SEA</t>
  </si>
  <si>
    <t>Dramatic retreat of ice shelves in Antarctica in recent years, linked to climatic warming, is well documented. In contrast, the ice shelves of the Russian Arctic remain largely unstudied. A time-series analysis of the largest ice shelf in the Russian High Arctic, the Matusevich Ice Shelf, Severnaya Zemlya, was undertaken for the period 1931 to 1994 using georeferenced Landsat satellite imagery and published maps. The positions of three major ice margins in 1931, 1955, 1962, 1973, 1985, 1988, and 1994 are compared. The floating margin of the ice shelf underwent at least two cycles of retreat followed by periods of advance between 1931 and 1994. These periodic calving events produce tabular icebergs up to several kilometers in length. This process is typical of floating ice shelves in Antarctica and Greenland, whereas grounded ice margins in, for example, Svalbard, produce smaller icebergs much more frequently. There is little evidence that these calving events are related to climate change. Landsat imagery is also used to track the movement of 50 icebergs identified in 1985 imagery of Matusevich Fjord. Iceberg release from the fjord between 1985 and 1994 was extremely slow, with 48 of the icebergs observed in 1985 still trapped in the fjord in 1994. The icebergs from Matusevich Ice Shelf remain in the fjord for many years, probably due to either grounding on submarine moraines or trapping by shore-fast sea ice. Much of the sediment load of the trapped icebergs may be melted out and: deposited beneath the sea-ice cover of Matusevich Fjord, and little iceberg-rafted debris of heterogeneous grain size will be transported to the Laptev Sea.</t>
  </si>
  <si>
    <t>Univ Newcastle Upon Tyne, Dept Geomat, Newcastle Upon Tyne NE1 7RU, Tyne &amp; Wear, England; Univ Bristol, Sch Geog Sci, Bristol Glaciol Ctr, Bristol BS8 1SS, Avon, England</t>
  </si>
  <si>
    <t>Newcastle University - UK; University of Bristol</t>
  </si>
  <si>
    <t>Williams, M (corresponding author), Univ Newcastle Upon Tyne, Dept Geomat, Newcastle Upon Tyne NE1 7RU, Tyne &amp; Wear, England.</t>
  </si>
  <si>
    <t>Williams, Meredith/D-2903-2012</t>
  </si>
  <si>
    <t>10.2307/1552222</t>
  </si>
  <si>
    <t>WOS:000169174800012</t>
  </si>
  <si>
    <t>Kulbe, T; Melles, M; Verkulich, SR; Pushina, ZV</t>
  </si>
  <si>
    <t>East Antarctic climate and environmental variability over the last 9400 years inferred from marine sediments of the Bunger Oasis</t>
  </si>
  <si>
    <t>LAKE-SEDIMENTS; ORGANIC-MATTER; GLACIAL HISTORY; LATE QUATERNARY; RESTING SPORES; ICE; RECORD; HILLS; OCEAN; DEGLACIATION</t>
  </si>
  <si>
    <t>Sediment cores around Antarctica provide a unique opportunity to cross check and supplement the climatic information recorded in ice cores. Suitable high-resolution data, however, have not been available until now from East Antarctica. We present results from the longest continuous postglacial marine sediment succession (1290 cm) ever obtained from an East Antarctic basin. Twenty-one radiocarbon dates show a consistent age to depth correlation over the last 9400 calibrated years BP (cal. yr BP). For this time interval distinct changes in the silicified ice-related biotic species assemblages, accumulation rates of organic carbon, delta C-13 values, and C/N ratios were detected. We demonstrate that these sediment signatures can be used as climate proxies. Our results indicate significant Holocene climatic variability with a climatic optimum between 3500 and 2500 cal. yr BP. This was followed by an abrupt and dramatic cooling that took place within less than 200 yr. Corroborating the results of other researchers we hypothesize that this climatic optimum and its termination was a circumantarctic event which would appear to be out of phase with a proposed global temperature trend (maximum) during the Holocene.</t>
  </si>
  <si>
    <t>Alfred Wegener Inst Polar &amp; Marine Res, D-14473 Potsdam, Germany; State Sci Ctr, Arctic &amp; Antarctic Res Inst, St Petersburg 199397, Russia; VNIIOkeangeol, St Petersburg 190121, Russia</t>
  </si>
  <si>
    <t>Helmholtz Association; Alfred Wegener Institute, Helmholtz Centre for Polar &amp; Marine Research; Arctic &amp; Antarctic Research Institute</t>
  </si>
  <si>
    <t>Kulbe, T (corresponding author), Geoforschungszentrum Potsdam, Telegrafenberg Haus C, D-14473 Potsdam, Germany.</t>
  </si>
  <si>
    <t>Melles, Martin/J-4070-2012</t>
  </si>
  <si>
    <t>Melles, Martin/0000-0003-0977-9463</t>
  </si>
  <si>
    <t>10.2307/1552223</t>
  </si>
  <si>
    <t>WOS:000169174800013</t>
  </si>
  <si>
    <t>Ingólfsson, O; Norddahl, H</t>
  </si>
  <si>
    <t>High relative sea level during the Bolling Interstadial in western Iceland:: a reflection of ice-sheet collapse and extremely rapid glacial unloading</t>
  </si>
  <si>
    <t>ATLANTICS HEINRICH EVENTS; NORTH-ATLANTIC; LAST DEGLACIATION; ICEBERG DISCHARGES; SOUTH ICELAND; SHELF; OCEAN; CIRCULATION; HISTORY; ORIGIN</t>
  </si>
  <si>
    <t>New geologic data from western Iceland reveal raised marine terraces at elevations between 105 and 148 m a.s.l., 45-80 m above the late Younger Dryas (ca. 10.3 ka BP) raised beaches in the region. Radiocarbon dating assigns the high marine levels a Bolling Interstadial age of ca. 12.6 +/- 0.1 ka BP. Inferred gradient for raised Bolling beaches in the lower Borgarfjordur area is close to 2.3 m km(-1). The marine terraces indicate a Bolling glacio-isostatic crustal depression of up to 250 +/- 20 m, reflecting ice thickness of up to 840 +/- 150 m. This is close to previously estimated Last Glacial Maximum (LGM) ice thickness. The Icelandic crust responds rapidly to changes in ice-load. Gradual thinning and retreat of thr Icelandic ice sheet would have been concurrently compensated for by isostatic rebound, inhibiting formation of raised shorelines reflecting LGM isostatic crustal depression. The Balling shorelines, together with recent marine and geophysical data, indicate a very rapid deglaciation of western Iceland shelf and coastal areas around ca. 12.6 ka BP. The rapid deglaciation coincides with a period of rapid eustatic sea-level rise, which destabilized the western part of the Icelandic ice sheet and caused it to collapse.</t>
  </si>
  <si>
    <t>Univ Gothenburg, Ctr Earth Sci, SE-40530 Gothenburg, Sweden; Univ Iceland, Inst Sci, IS-107 Reykjavik, Iceland</t>
  </si>
  <si>
    <t>University of Gothenburg; University of Iceland</t>
  </si>
  <si>
    <t>olafur@unis.no; hreggi@raunvi.hi.is</t>
  </si>
  <si>
    <t>Ingolfsson, Olafur/L-8950-2015</t>
  </si>
  <si>
    <t>Ingolfsson, Olafur/0000-0001-8143-2005</t>
  </si>
  <si>
    <t>10.2307/1552224</t>
  </si>
  <si>
    <t>WOS:000169174800014</t>
  </si>
  <si>
    <t>Vetter, W; Klobes, U; Luckas, B</t>
  </si>
  <si>
    <t>Distribution and levels of eight toxaphene congeners in different tissues of marine mammals, birds and cod livers</t>
  </si>
  <si>
    <t>CHEMOSPHERE</t>
  </si>
  <si>
    <t>19th Symposium on Halgenated Organic Pollutants and Pops - DIOXIN '99</t>
  </si>
  <si>
    <t>SEP 12-17, 1999</t>
  </si>
  <si>
    <t>VENICE, ITALY</t>
  </si>
  <si>
    <t>camphechlor; chlorobornanes; organochlorines; seal blubber; Antarctic</t>
  </si>
  <si>
    <t>MICROWAVE-ASSISTED EXTRACTION; GEL-PERMEATION CHROMATOGRAPHY; TECHNICAL TOXAPHENE; MASS-SPECTROMETRY; ELECTRON-CAPTURE; CHLORINATED HYDROCARBONS; ENVIRONMENTAL-SAMPLES; STRUCTURE ELUCIDATION; SEAL BLUBBER; RESIDUES</t>
  </si>
  <si>
    <t>Levels and distribution of eight compounds of technical toxaphene (CTTs) were determined in different marine species (seals, cetaceans, birds, and fish). The eight CTTs included six commercially available and two chlorobornanes prepared in our lab. These congeners were present in all investigated samples. In agreement with earlier studies, the octachlorobornane B8-1413 (P-26) and the nonachlorobornane B9-1679 (P-50) were the most abundant congeners in most of the samples. In seal blubber, B8-1413 (P-26) and B9-1679 (P-50) contributed with up to similar to 80% (Weddell seal) to the sum of the eight CTTs. In seals from the northern hemisphere the nonachlorobornane was more abundant while in those from the southern hemisphere (Antarctic and Namibia), the octachlorobornane B8-1413 (P-26) usually appeared at higher concentrations. Depending on the species the contribution of the other congeners varied significantly. B9-1025 (P-62) ranged from 2-20%, B8-1412 was found at 4-25% with highest contribution in birds, and B8-2229 (P-44) was found at 5-15%. The remaining three congeners B7-1453, B8-1414 (P- 40), and B8-1945 (P-41) were lower abundant except B8-1414 (P-40) which was found at high contribution in liver and kidney of birds. The sum of the eight CTTs ranged from 4 mug/kg to 1.4 mg/kg, depending on the species and region. In most of the seal blubber samples, PCBs and DDT were more abundant (factor 2-20) but Antarctic Weddell seals showed higher CTT levels than PCBs and DDT. (C) 2001 Elsevier Science Ltd. All rights reserved.</t>
  </si>
  <si>
    <t>Univ Jena, Dept Food Chem, D-07743 Jena, Germany</t>
  </si>
  <si>
    <t>Friedrich Schiller University of Jena</t>
  </si>
  <si>
    <t>Vetter, W (corresponding author), Univ Jena, Dept Food Chem, Dornburger Str 25, D-07743 Jena, Germany.</t>
  </si>
  <si>
    <t>0045-6535</t>
  </si>
  <si>
    <t>Chemosphere</t>
  </si>
  <si>
    <t>MAY-JUN</t>
  </si>
  <si>
    <t>4-7</t>
  </si>
  <si>
    <t>10.1016/S0045-6535(00)00413-6</t>
  </si>
  <si>
    <t>430VU</t>
  </si>
  <si>
    <t>WOS:000168596800028</t>
  </si>
  <si>
    <t>Berrow, SD; Croxall, JP</t>
  </si>
  <si>
    <t>Provisioning rate and attendance patterns of Wandering Albatrosses at Bird Island, South Georgia</t>
  </si>
  <si>
    <t>attendance pattern; chick provisioning; Diomedea exulans; foraging rate; meal size; Wandering Albatross</t>
  </si>
  <si>
    <t>GRAY-HEADED ALBATROSSES; DIOMEDEA-MELANOPHRIS; BREEDING-SEASON; CHRYSOSTOMA; GROWTH; EXULANS; CHICKS; EXPERIENCE; FOOD</t>
  </si>
  <si>
    <t>We investigated foraging behavior of Wandering Albatrosses (Diomedea exulans) breeding at South Georgia to assess how sex and season-specific foraging patterns relate to provisioning performance. We estimated Wandering Albatross chicks require 60-65 kg of food over the chick-rearing period; males deliver 54% of this total. Meal size delivered by both sexes remained essentially constant throughout the post-brooding chick-rearing period, but foraging trip duration varied considerably. Females made consistently longer foraging trips and delivered smaller meals but transported an average load that was 20% heavier in proportion to their body mass than males. We suggest that chick-rearing places greater demands on females compared with males and Wandering Albatrosses work hard to deliver food during the first half of chick rearing (at the expense of their own condition), thereafter reduce their work rate, presumably so as not to compromise their survival.</t>
  </si>
  <si>
    <t>Berrow, SD (corresponding author), British Antarctic Survey, Nat Environm Res Council, High Cross,Madingley Rd, Cambridge CB3 0ET, England.</t>
  </si>
  <si>
    <t>10.1650/0010-5422(2001)103[0230:PRAAPO]2.0.CO;2</t>
  </si>
  <si>
    <t>430HZ</t>
  </si>
  <si>
    <t>WOS:000168569600003</t>
  </si>
  <si>
    <t>Block, W; Worland, MR</t>
  </si>
  <si>
    <t>Experimental studies of ice nucleation in an Antarctic springtail (Collembola, Isotomidae)</t>
  </si>
  <si>
    <t>ice nucleator activity; ice nucleation spectra; inactivation; acclimation; supercooling point; Cryptopygus antarcticus; Antarctic; springtail</t>
  </si>
  <si>
    <t>COLD-HARDINESS; CRYPTOPYGUS-ANTARCTICUS; SIGNY ISLAND; AGENTS; SURVIVAL; INSECTS; BEETLES; MITES</t>
  </si>
  <si>
    <t>Ice nucleation was studied in field-fresh and acclimated (4 degreesC without food for 11-20 days) samples of the springtail Cryptopygus antarcticus Willem (Collembola. Isotomidae) at Rothera Research Station. Adelaide Island on the Antarctic Peninsula. Ice nucleator activity (INA) was measured by a freezing droplet technique in addition to supercooling point (SCP) profiles and polyol, sugar, and water contents. Field and acclimated samples showed bimodal SCP distributions with a distinct high group (HG, mean SCP -8 to - 10 degreesC) and low group (LG: mean SCP - 23 to - 25 degreesC), which were significantly different. Acclimation at 4 degreesC increased the proportion of individuals in the LG relative to that in the HG without significant effects on the mean SCP of both groups. INA of the HG was significantly greater than that of the LG. and acclimation further reduced the INA of the LG. The number of active ice nucleator agents (INAs) calculated for the HG of field samples increased by 23-100 times over the temperature range - 5 to - 8 degreesC compared to only 7 times for the LG over the same range. These differences were accentuated in the acclimation experiments. Glucose and galactose were the main carbohydrates in both field and acclimated springtails, with the latter compound occurring in almost twice the concentration in the LG compared with that in the HG. Acclimation reduced the concentration of both compounds (glucose by 77% and galactose by 54%). whereas water content increased significantly. Digestion of food may have continued during acclimation at 4 degreesC, which could reduce the LG INA. Lowering of temperature over time is more likely to elicit a cold hardening response than constant temperature acclimation. INA numbers calculated at the nucleation temperatures for C. antarcticus samples were higher in the LG than in the HG. However, inactivation of INAs may be a key mechanism underlying cold hardening in this species, either by sequestration within the cellular matrix or by being only seasonally active. (C) 2001 Academic Press.</t>
  </si>
  <si>
    <t>Block, W (corresponding author), British Antarctic Survey, NERC, Madingley Rd,High Cross, Cambridge CB3 0ET, England.</t>
  </si>
  <si>
    <t>10.1006/cryo.2001.2319</t>
  </si>
  <si>
    <t>482WX</t>
  </si>
  <si>
    <t>WOS:000171601200003</t>
  </si>
  <si>
    <t>Palmer, JR; Totterdell, IJ</t>
  </si>
  <si>
    <t>Production and export in a global ocean ecosystem model</t>
  </si>
  <si>
    <t>global ocean; carbon cycle; ecosystem modelling; primary production; nitrogen cycle; particulate flux</t>
  </si>
  <si>
    <t>GENERAL-CIRCULATION-MODEL; ORGANIC-CARBON FLUX; PACIFIC-OCEAN; INTERANNUAL VARIABILITY; TRACER DISTRIBUTIONS; PHYTOPLANKTON GROWTH; PLANKTON DYNAMICS; COASTAL WATERS; PARTICLE-FLUX; VERTICAL FLUX</t>
  </si>
  <si>
    <t>The Hadley Centre Ocean Carbon Cycle (HadOCC) model is a coupled physical-biogeochemical model of the ocean carbon cycle. It features an explicit representation of the marine ecosystem, which is assumed to be limited by nitrogen availability. The biogeochemical compartments are dissolved nutrient, total CO(2), total alkalinity, phytoplankton, zooplankton and detritus. The results of the standard simulation are presented. The annual primary production predicted by the model (47.7 Gt C yr(-1)) compares well to the estimates made by Longhurst et al. (1995, J. Plankton Res., 17, 1245) and Antoine et al. (1996, Global Biogeochem. Cycles, 10, 57). The HadOCC model finds high production in the sub-polar North Pacific and North Atlantic Oceans, and around the Antarctic convergence, and low production in the sub-tropical gyres. However in disagreement with the observations of Longhurst et al. and Antoine et al., the model predicts very high production in the eastern equatorial Pacific Ocean. The export flux of carbon in the model agrees well with data from deep-water sediment traps. In order to examine the factors controlling production in the ocean, additional simulations have been run. A nutrient-restoring simulation confirms that the areas with the highest primary production are those with the greatest nutrient supply. A reduced wind-stress experiment demonstrates that the high production found in the equatorial Pacific is driven by excessive upwelling of nutrient-rich water. Three further simulations show that nutrient supply at high latitudes, and hence production there, is sensitive to the parameters and climatological forcings of the mixed layer submodel. Crown Copyright (C) 2001 Published by Elsevier Science Ltd. All rights reserved.</t>
  </si>
  <si>
    <t>Southampton Oceanog Ctr, George Deacon Div, Southampton SO14 3ZH, Hants, England; Meteorol Off, Hadley Ctr Climate Predict &amp; Res, Bracknell RG12 2SY, Berks, England</t>
  </si>
  <si>
    <t>NERC National Oceanography Centre; University of Southampton; Met Office - UK; Hadley Centre</t>
  </si>
  <si>
    <t>Totterdell, IJ (corresponding author), Southampton Oceanog Ctr, George Deacon Div, European Way, Southampton SO14 3ZH, Hants, England.</t>
  </si>
  <si>
    <t>Ian.J.Totterdell@soc.soton.ac.uk</t>
  </si>
  <si>
    <t>10.1016/S0967-0637(00)00080-7</t>
  </si>
  <si>
    <t>413LA</t>
  </si>
  <si>
    <t>WOS:000167612600002</t>
  </si>
  <si>
    <t>Helbling, EW; Villafañe, VE; Buma, AGJ; Andrade, M; Zaratti, F</t>
  </si>
  <si>
    <t>DNA damage and photosynthetic inhibition induced by solar ultraviolet radiation in tropical phytoplankton (Lake Titicaca, Bolivia)</t>
  </si>
  <si>
    <t>cyclobutane pyrimidine dimers; DNA damage; Lake Titicaca; photosynthesis; phytoplankton; ultraviolet radiation</t>
  </si>
  <si>
    <t>DIATOM CYCLOTELLA SP; UV-B RADIATION; MARINE-PHYTOPLANKTON; ANTARCTIC PHYTOPLANKTON; OZONE DEPLETION; RESPONSES; BACTERIOPLANKTON; PHOTOINHIBITION; PHOTODAMAGE; ASSEMBLAGES</t>
  </si>
  <si>
    <t>Experiments were conducted during October 1998 in Lake Titicaca, Bolivia (16 degrees S, 68 degrees W, 3810 m a.s.l), to determine the effects of solar ultraviolet radiation (UVR) on phytoplankton photosynthetic rates and DNA damage. Water samples were taken daily and incubated ir? situ or in simulated in situ conditions using sharp cut-off filters to eliminate various portions of the UVR spectrum. The total inhibition of photosynthesis due to WR in surface waters was 85 %; the greatest part of this inhibition (65 %) was due to WAR (315-400 nm), the rest (20 %) being due to UVBR (280-315 nm). The inhibition of photosynthesis decreased with depth so that there were no significant differences among treatments at 1.3 optical depths (K-PAR). The loss of carbon assimilation in the integrated production over the euphotic zone (4.6 optical depths) was 17.4 %, with 14% due to UVAR and an additional 3.4% due to UVBR. Lake Titicaca phytoplankton had a threshold for inhibition of photosynthesis at about 0.3 W m(-2) for UVBR and 5 W m(-2) for UVAR, below which no inhibition was detected. Above this threshold, photosynthetic inhibition increased steadily, with UVAR having the greatest effect. Analysis of biological weighting functions (BWFs) indicated that phytoplankton from Lake Titicaca was less sensitive to UVR than phytoplankton from other regions. DNA damage (evaluated through the formation of cyclobutane pyrimidine dimers, CPDs) was observed for a simulated worst-case situation (i.e, samples incubated in full sunlight) and significant CPD accumulation was found as a result of UVBR exposure, but not with UVAR. However, absolute levels of damage were relatively low when compared with results obtained at other locations, also suggesting the low sensitivity of Lake Titicaca phytoplankton to UVR. It seems that UVBR stress in these organisms acts via at least two cellular targets: the photosynthetic apparatus and nuclear DNA. Our results suggest that an eventual enhancement of UVBR, due to ozone depletion, would have little impact on the phytoplankton of Lake Titicaca.</t>
  </si>
  <si>
    <t>Estac Fotobiol Playa Union, RA-9100 Trelew, Chubut, Argentina; CONICET, RA-9100 Trelew, Chubut, Argentina; Univ Groningen, Dept Marine Biol, NL-9750 AA Haren, Netherlands; Univ Mayor San Andres, Inst Invest Fis, Lab Fis Atmosfera, La Paz, Bolivia</t>
  </si>
  <si>
    <t>Consejo Nacional de Investigaciones Cientificas y Tecnicas (CONICET); University of Groningen; Universidad Mayor de San Andres</t>
  </si>
  <si>
    <t>Helbling, EW (corresponding author), Estac Fotobiol Playa Union, Casilla Correos 153, RA-9100 Trelew, Chubut, Argentina.</t>
  </si>
  <si>
    <t>Andrade Flores, Marcos Froilan/GSE-4415-2022; Buma, Anita GJ/E-8372-2015</t>
  </si>
  <si>
    <t>Villafane, Virginia/0000-0002-9552-6069; Andrade, Marcos/0000-0002-9736-493X</t>
  </si>
  <si>
    <t>10.1017/S0967026201003122</t>
  </si>
  <si>
    <t>454HX</t>
  </si>
  <si>
    <t>WOS:000169968100006</t>
  </si>
  <si>
    <t>Brown, MV; Bowman, JP</t>
  </si>
  <si>
    <t>A molecular phylogenetic survey of sea-ice microbial communities (SIMCO)</t>
  </si>
  <si>
    <t>sea ice; Antarctica; Arctic; bacterium; alga; 16S rDNA</t>
  </si>
  <si>
    <t>GAS VACUOLATE BACTERIA; MCMURDO-SOUND; WEDDELL SEA; DIVERSITY; MICROORGANISMS; ASSEMBLAGES; ABUNDANCE; ECOLOGY; ARCHAEA; LAKES</t>
  </si>
  <si>
    <t>16S rDNA clone library analysis was used to identify bacterial biodiversity in a variety of sea-ice microbial communities (SIMCO). DNA was extracted from seven Antarctic sea-ice samples and one Arctic sea-ice sample and 16S rDNA PCR-amplified using universal and Archaea-specific primers. Recombinant 16S rDNA clones were obtained and dereplicated using restriction fragment length polymorphism analysis (RFLP). After RFLP analysis, 100 distinct phylotypes (a unique clone or group of clones with sequence similarity of &gt;0.98) were defined. From the clone libraries 16S rDNA sequences of bacterial and eukaryotic origin were detected, however Archaea were not detected either with universal or Archaea-specific 16S rDNA primer sets. Bacterial phylotypes grouped within the alpha and gamma proteobacteria, the Cytophaga-Flavobacterium-Bacteroides division, the Gram-Positive bacteria and the orders Chlamydiales and Verrucomicrobiales. The majority of bacterial phylotypes were affiliated with heterotrophic taxa and many grouped closely with cultivated genera and species. Eukaryotic clones were affiliated with a variety of autotrophic and heterotrophic nanoplankton and included a large number of chloroplast 16S rDNA gene. The findings of this investigation corroborated culture data indicating bacterial biodiversity increased in SIMCO displaying high levels of primary production, however the bacterial communities with SIMCO were highly heterogeneous at the genus/species-level between different samples. A comparison of Antarctic and Arctic SIMCO reveled certain sea-ice dwelling bacterial genera are common at both poles.</t>
  </si>
  <si>
    <t>Univ Tasmania, Sch Agr Sci, GPO Box 252-54, Hobart, Tas 7001, Australia</t>
  </si>
  <si>
    <t>Univ Tasmania, Sch Agr Sci, GPO Box 252-54, Hobart, Tas 7001, Australia.</t>
  </si>
  <si>
    <t>john.bowman@utas.edu.au</t>
  </si>
  <si>
    <t>Bowman, John P./ABF-5108-2020; Bowman, John P/C-2414-2014</t>
  </si>
  <si>
    <t>Bowman, John P./0000-0002-4528-9333; Bowman, John P/0000-0002-4528-9333</t>
  </si>
  <si>
    <t>1574-6941</t>
  </si>
  <si>
    <t>10.1016/S0168-6496(01)00100-3</t>
  </si>
  <si>
    <t>427GB</t>
  </si>
  <si>
    <t>WOS:000168395500006</t>
  </si>
  <si>
    <t>Schouten, S; Rijpstra, WIC; Kok, M; Hopmans, EC; Summons, RE; Volkman, JK; Damsté, JSS</t>
  </si>
  <si>
    <t>Molecular organic tracers of biogeochemical processes in a saline meromictic lake (Ace Lake)</t>
  </si>
  <si>
    <t>CARBON ISOTOPIC FRACTIONATION; ANAEROBIC METHANE OXIDATION; ACE LAKE; VESTFOLD HILLS; METHANOGENIC ARCHAEON; EAST ANTARCTICA; SP-NOV; METHYLOSPHAERA-HANSONII; METHANOTROPHIC BACTERIA; MARINE-SEDIMENTS</t>
  </si>
  <si>
    <t>The chemical structures, distribution and stable carbon isotopic compositions of lipids in a sediment core taken in meromictic Ace Lake (Antarctica) were analyzed to trace past biogeochemical cycling. Biomarkers from methanogenic archaea, methanotrophic bacteria and photosynthetic green sulfur bacteria were unambiguously assigned using organic geochemical understanding and by reference to what is known about the lake's present-day ecosystem. For instance, saturated and unsaturated 2,6,10,15,19-pentamethylicosane, archaeol and sn2-hydroxyarchaeol were derived from methanogenic archaea. Carotenoid analysis revealed chlorobactene and isorenieratene derived from the green-colored and brown-colored strains of the,green sulfur bacteria (Chlorobiaceae): isotopic analyses showed that they were C-13-enriched. Phytenes appear to be derived from photoautotrophs that use the Calvin-Benson cycle, while phytane has a different source possibly within the archaea. The most C-13-depleted compounds (ca. -55 parts per thousand) identified were 4-melhyl-5acholest-8(14)-en-3 beta -ol, identified using an authentic standard, and co-occurring -4-methylsteradienes: these originate from the aerobic methanotrophic bacterium Methylosphaera hansonii. Lipids of photoautotrophic origin, steranes and alkenones, are relatively depleted (ca.-28 to -36 parts per thousand) whilst archaeal biomarkers are relatively enriched in C-13 (ca. -17 to -25 parts per thousand). The structural and carbon isotope details of sedimentary lipids thus revealed aspects of in situ biogeochemical processes such as methane generation and oxidation and phototrophic sulfide oxidation. Copyright (C) 2001 Elsetier Science Ltd.</t>
  </si>
  <si>
    <t>Netherlands Inst Sea Res, Dept Marine Biogeochem &amp; Toxicol, NL-1790 AB Den Burg, Netherlands; Australian Geol Survey Org, Canberra, ACT 2601, Australia; Antarctic CRC, Hobart, Tas 7001, Australia; CSIRO Marine Res, Hobart, Tas 7001, Australia</t>
  </si>
  <si>
    <t>Utrecht University; Royal Netherlands Institute for Sea Research (NIOZ); Geoscience Australia; Commonwealth Scientific &amp; Industrial Research Organisation (CSIRO)</t>
  </si>
  <si>
    <t>Schouten, S (corresponding author), Netherlands Inst Sea Res, Dept Marine Biogeochem &amp; Toxicol, POB 59, NL-1790 AB Den Burg, Netherlands.</t>
  </si>
  <si>
    <t>schouten@nioz.nl</t>
  </si>
  <si>
    <t>Volkman, John K/A-6592-2008; Summons, Roger Everett/AAL-3789-2020; Sinninghe Damste, Jaap/F-6128-2011</t>
  </si>
  <si>
    <t>Hopmans, Ellen/0000-0002-8209-1334; Sinninghe Damste, Jaap/0000-0002-8683-1854</t>
  </si>
  <si>
    <t>10.1016/S0016-7037(00)00627-X</t>
  </si>
  <si>
    <t>433ME</t>
  </si>
  <si>
    <t>WOS:000168762600008</t>
  </si>
  <si>
    <t>Boger, SD; Wilson, CJL; Fanning, CM</t>
  </si>
  <si>
    <t>Early Paleozoic tectonism within the East Antarctic craton: The final suture between east and west Gondwana?</t>
  </si>
  <si>
    <t>Gondwana; Rodinia; east Antarctica; SHRIMP data; suture zones; Prince Charles Mountains</t>
  </si>
  <si>
    <t>PRINCE-CHARLES MOUNTAINS; U-PB; SHIELD; BELT; METAMORPHISM; CONSTRAINTS; EVOLUTION; HISTORY; EVENTS; ZIRCON</t>
  </si>
  <si>
    <t>New U-Pb SHRIMP ages from East Antarctica point to the existence of a laterally continuous orogenic belt that bisects the East Antarctic craton, This orogenic belt juxtaposes Archean crust to the south and east against Neoproterozoic metamorphic rocks to the north and west. It defines the margin of a separate lithospheric block that consists of a large section of East Antarctica and India that did not form part of east Gondwana or Rodinia as they are currently reconstructed. Instead, this Indo-Antarctic continent accreted with west Gondwana along the Mozambique suture shortly before collision and suturing along a second Pan-African suture now cropping out in the southern Prince Charles Mountains and Prydz Bay regions of Antarctica. This scenario is consistent with (1) the abrupt termination of ca. 990-900 Ma tectonism recognized in the northern Prince Charles Mountains-Rayner Complex-Eastern Chats against Paleozoic orogenic belts, (2) the lack of terranes of equivalent age found elsewhere in either Antarctica or other previously adjacent continents, and (3) the distinct detrital-zircon populations obtained from either side of this proposed suture.</t>
  </si>
  <si>
    <t>Univ Melbourne, Sch Earth Sci, Melbourne, Vic 3010, Australia; Australian Natl Univ, Res Sch Earth Sci, Canberra, ACT 0200, Australia</t>
  </si>
  <si>
    <t>University of Melbourne; Melbourne Bioinformatics; Australian National University</t>
  </si>
  <si>
    <t>Univ Melbourne, Sch Earth Sci, Melbourne, Vic 3010, Australia.</t>
  </si>
  <si>
    <t>stevenboger@hotmail.com</t>
  </si>
  <si>
    <t>Boger, Steven/B-8799-2013; Fanning, Christopher Mark/I-6449-2016</t>
  </si>
  <si>
    <t>Fanning, Christopher Mark/0000-0003-3331-3145; Boger, Steven/0000-0003-0739-6266</t>
  </si>
  <si>
    <t>10.1130/0091-7613(2001)029&lt;0463:EPTWTE&gt;2.0.CO;2</t>
  </si>
  <si>
    <t>428DJ</t>
  </si>
  <si>
    <t>WOS:000168445700022</t>
  </si>
  <si>
    <t>Gabis, IP; Troshichev, OA</t>
  </si>
  <si>
    <t>Effect of short-term solar UV variations on the stratospheric circulation</t>
  </si>
  <si>
    <t>ULTRAVIOLET VARIATIONS; CLOUD MICROPHYSICS; MIDDLE ATMOSPHERE; FLUX VARIATIONS; IRRADIANCE; OZONE; CONNECTION; DYNAMICS; INDEX; WIND</t>
  </si>
  <si>
    <t>The behavior of the Sazonov index, which characterizes the intensity of the meridional circulation at a level of 30 hPa in the mid- and high-latitude winter stratospheres as a function of the short-term (tau less than or equal to 27 days) solar UV variation, has been studied. The MgII index, whose variations are associated with solar activity and characterize the intensity of the chromospheric emission in the midultraviolet range of wavelengths (lambda less than or equal to 280 nm), which is of prime importance in the stratosphere dynamics, is used as a characteristic of solar UV irradiance. The relationship between the short-term variations in solar activity shown in the MgII-index changes, and: the atmospheric circulation disturbances at a level of 30 hPa has been uncovered. It has been indicated that the increased and decreased values of the MgII index correspond to the intensified and weakened stratospheric circulation disturbances, respectively. This relationship between the level of solar UV irradiance and the intensity of the meridional circulation at a level of 30 hPa depends on the quasi-biennial periodicity, phase of the 11-year solar cycle, and degree of solar disturbance during the specific period (SCR bursts).</t>
  </si>
  <si>
    <t>Russian Acad Sci, Arctic &amp; Antarctic Res Inst, St Petersburg 199397, Russia</t>
  </si>
  <si>
    <t>Arctic &amp; Antarctic Research Institute; Russian Academy of Sciences</t>
  </si>
  <si>
    <t>Gabis, IP (corresponding author), Russian Acad Sci, Arctic &amp; Antarctic Res Inst, Ul Beringa 38, St Petersburg 199397, Russia.</t>
  </si>
  <si>
    <t>450QK</t>
  </si>
  <si>
    <t>WOS:000169754500021</t>
  </si>
  <si>
    <t>Hoppema, M; Roether, W; Bellerby, RGJ; de Baar, HJW</t>
  </si>
  <si>
    <t>Direct measurements reveal insignificant storage of anthropogenic CO2 in the abyssal Weddell Sea</t>
  </si>
  <si>
    <t>ANTARCTIC BOTTOM WATER; INDIAN-OCEAN; DEEP; CFCS</t>
  </si>
  <si>
    <t>In the northern Weddell Gyre at the prime meridian, Total TCO2 changes in the Weddell Sea Bottom Water (WSBW) have been investigated. Following a suggestion by [Poisson and Chen, 1987], the TCO2 difference at potential temperatures of 0.2 degreesC and -0.8 degreesC was determined using data from 1996 and 1998. No significant difference was found to similar differences for the years 1973 and 1981 reported by Poisson and Chen. Thus, over a period of 25 years an at most minor amount of anthropogenic CO2 has penetrated into the WSBW at this location. This suggests that this abyssal subpolar region is relatively unimportant for the storage of anthropogenic CO2. The same core of WSBW: exhibited a, marked increase of chlorofluorocarbon (CFC). For the Southern Ocean, therefore, CFCs are apparently of limited value as analogues of anthropogenic CO2, in contrast to some other ocean provinces.</t>
  </si>
  <si>
    <t>Univ Bremen, FB1, IUP, Dept Oceanog,Inst Environm Phys, D-28334 Bremen, Germany; Univ Bergen, Inst Geophys, N-5007 Bergen, Norway; Netherlands Inst Sea Res, NIOZ, NL-1790 AB Den Burg, Netherlands</t>
  </si>
  <si>
    <t>University of Bremen; University of Bergen; Utrecht University; Royal Netherlands Institute for Sea Research (NIOZ)</t>
  </si>
  <si>
    <t>Hoppema, M (corresponding author), Univ Bremen, FB1, IUP, Dept Oceanog,Inst Environm Phys, POB 330440, D-28334 Bremen, Germany.</t>
  </si>
  <si>
    <t>Bellerby, Richard/ABD-6590-2021; Bellerby, Richard/B-5277-2012; Hoppema, Mario/I-6286-2013</t>
  </si>
  <si>
    <t>Bellerby, Richard/0000-0003-3598-4006; Hoppema, Mario/0000-0002-2326-619X</t>
  </si>
  <si>
    <t>MAY 1</t>
  </si>
  <si>
    <t>10.1029/2000GL012443</t>
  </si>
  <si>
    <t>424QN</t>
  </si>
  <si>
    <t>WOS:000168243100020</t>
  </si>
  <si>
    <t>Loubere, P</t>
  </si>
  <si>
    <t>Nutrient and oceanographic changes in the Eastern Equatorial Pacific from the last full Glacial to the Present</t>
  </si>
  <si>
    <t>Eastern Equatorial Pacific; paleoceanography; glacial; stable isotopes; nutrients</t>
  </si>
  <si>
    <t>LIVING PLANKTIC FORAMINIFERA; SEA-SURFACE TEMPERATURES; PAST 30,000 YEARS; PANAMA BASIN; DEEP-OCEAN; OBSERVATIONAL CONSTRAINTS; VERTICAL-DISTRIBUTION; ISOTOPIC COMPOSITION; SEASONAL-CHANGES; WATER EXCHANGE</t>
  </si>
  <si>
    <t>Stable isotope measurements of the planktonic foraminiferal species Neogloboquadrina dutertrei and Globigerinoides sacculifer in multiple size fractions were used to examine surface ocean circulation and thermocline nutrient supply in the Eastern Equatorial Pacific (EEP) during the Last Glacial Maximum (LGM). Oxygen isotope values for N. dutertrei in a suite of surface sediment samples are in equilibrium with waters at a consistent position on the temperature gradient from the surface to 100-m water depth. This corresponds to habitats between 40 and 80-m depth, depending on location. The N. dutertrei carbon isotope values follow regional nutrient gradients below 50-m water depth. Combination of oxygen and carbon isotope data for surface sediment samples demonstrates that N. dutertrei maintains a consistent habitat within the lower part of the temperature profile from the surface to 100-m water depth. Mapping isotope values for this species during the LGM in 12 cores across the EEP shows significant changes in regional isotopic gradients. Oxygen isotope values show a regional anomaly, after correction for ice mass change, whose extent depends on corrections made for the temperature shift between the LGM and the Present. Whatever temperature correction used, however, there was a regional change in surface water oxygen isotope values resulting from either dilution of surface waters in the Panama Basin [Mix et al., 1999a] or shifts in eastern boundary current circulation (Mix et al., 1999b). Carbon isotope values for N. dutertrei indicate that regional nutrient gradients seen today were absent during the last full Glacial. The data reveal that thermocline nutrient concentrations decreased during the ice age, in conjunction with the development of a stronger density gradient within the upper water column. This latter change is suggested by relative abundances of selected planktonic foraminifera. In addition, carbon isotope records for G, sacculifer and benthic foraminifera, which carry the global standard signal, differ from that of N. dutertrei, indicating that this species is responding to a local nutrient/circulation change in the thermocline. The timing of carbon isotope shifts during the deglaciation suggests that climate changes in the Antarctic forced oceanic change in the equatorial Pacific. (C) 2001 Elsevier Science B.V. All rights reserved.</t>
  </si>
  <si>
    <t>No Illinois Univ, Dept Geol &amp; Environm Geosci, De Kalb, IL 60115 USA</t>
  </si>
  <si>
    <t>Northern Illinois University</t>
  </si>
  <si>
    <t>No Illinois Univ, Dept Geol &amp; Environm Geosci, De Kalb, IL 60115 USA.</t>
  </si>
  <si>
    <t>paul@geol.niu.edu</t>
  </si>
  <si>
    <t>10.1016/S0921-8181(00)00085-0</t>
  </si>
  <si>
    <t>449ET</t>
  </si>
  <si>
    <t>WOS:000169671900004</t>
  </si>
  <si>
    <t>McMinn, A; Heijnis, H; Harle, K; McOrist, G</t>
  </si>
  <si>
    <t>Late-Holocene climatic change recorded in sediment cores from Ellis Fjord, eastern Antarctica</t>
  </si>
  <si>
    <t>HOLOCENE</t>
  </si>
  <si>
    <t>Holocene; diatoms; marine sediment cores; sea ice; climatic change; Antarctica; Vestfold Hills</t>
  </si>
  <si>
    <t>SEA-ICE EXTENT; VESTFOLD-HILLS; ORGANIC-MATTER; PHYTOPLANKTON SUCCESSION; GROWTH; ALGAE; VEGETATION; LIMITATION; DIATOMS</t>
  </si>
  <si>
    <t>An analysis of diatom assemblages, Total Organic Carbon (TOC), carbon-nitrogen ratio, delta C-13, biogenic silica and carbonate in two marine sediment cores from Ellis Fjord, eastern Antarctica, reveals episodes of climatic change at 3600, 2500, 2000 and 1000 yr BP. Using the diatom data, principal component analysis, the fast-ice index (FI), benthic index (BI) and snow index (SI) (which are derived from the diatom data), a period of reduced temporal sea-ice cover is identified prior to 2500 BP. There was a large increase in sea-ice extent between 2500 and 2000 BP followed by a smaller decline. Temporal sea-ice extent after 2000 BP was still significantly greater than prior to 2500 BP. Both cores were taken from anoxic basins within the fjord. It was found that the better preservation allowed the recognition of taxa such as Chaetoceros vegetative cells, which are not usually preserved. This enabled the distinction between ice-edge blooms, dominated by Fragilariopsis curta, and open-water blooms dominated by Chaetoceros. Even though Watts Basin receives a significant summer meltwater input each year, it has not been possible to recognize this signal in the sediment core.</t>
  </si>
  <si>
    <t>Univ Tasmania, Inst Antarctic &amp; So Ocean Studies, Hobart, Tas 7001, Australia; Australian Nucl Sci &amp; Technol Org, Environm Div, Menai, NSW 2234, Australia</t>
  </si>
  <si>
    <t>University of Tasmania; Australian Nuclear Science &amp; Technology Organisation</t>
  </si>
  <si>
    <t>McMinn, A (corresponding author), Univ Tasmania, Inst Antarctic &amp; So Ocean Studies, GPO Box 252-77, Hobart, Tas 7001, Australia.</t>
  </si>
  <si>
    <t>McMinn, Andrew/A-9910-2008; Heijnis, Hendrik/A-6673-2010</t>
  </si>
  <si>
    <t>Heijnis, Hendrik/0000-0002-7601-3452</t>
  </si>
  <si>
    <t>ARNOLD, HODDER HEADLINE PLC</t>
  </si>
  <si>
    <t>338 EUSTON ROAD, LONDON NW1 3BH, ENGLAND</t>
  </si>
  <si>
    <t>0959-6836</t>
  </si>
  <si>
    <t>Holocene</t>
  </si>
  <si>
    <t>10.1191/095968301671577682</t>
  </si>
  <si>
    <t>421DX</t>
  </si>
  <si>
    <t>WOS:000168047800004</t>
  </si>
  <si>
    <t>Sparks, C; Buecher, E; Brierley, AS; Axelsen, BE; Boyer, H; Gibbons, MJ</t>
  </si>
  <si>
    <t>Observations on the distribution and relative abundance of the scyphomedusan Chrysaora hysoscella (Linne, 1766) and the hydrozoan Aequorea aequorea (Forskal, 1775) in the northern Benguela ecosystem</t>
  </si>
  <si>
    <t>jellyfish; cross-shelf distribution; Namibia; spatial-partitioning; visual observations; trawl survey; Ecopath</t>
  </si>
  <si>
    <t>UPWELLING SYSTEM; AURELIA-AURITA; ZOOPLANKTON POPULATIONS; GELATINOUS ZOOPLANKTON; CHESAPEAKE BAY; QUINQUECIRRHA; PREDATION; SEA; ASSEMBLAGE; MIGRATION</t>
  </si>
  <si>
    <t>Observations on the abundance of medusae at the surface were conducted in the northern Benguela ecosystem, over the period August 1997-June 1998. The results suggest that Chrysaora hysoscella is found inshore, whereas Aequorea aequorea tends to be found offshore. Although these relative observations are subject to bias caused by seasonal changes in the survey area, they are generally supported by the results of correlation analyses, and by the results of a more quantitative, cross-shelf trawl survey. Both species of medusae display marked patchiness, and can be very abundant. They appear to have mostly non-overlapping patterns of distribution in the upper layers of the water column, and so are able exert a consistent predation pressure across the width of the continental shelf. The estimates of biomass obtained are used as input variables to existing models of energy flow within the ecosystem.</t>
  </si>
  <si>
    <t>Cape Technikon, Fac Sci Appl, ZA-8000 Cape Town, South Africa; Univ Western Cape, Dept Zool, ZA-7535 Bellville, South Africa; Stn Zool, CNRS, UPMC 7076, Lab Oceanog Biol &amp; Ecol Plancton Marin, F-06234 Villefranche Sur Mer, France; British Antarctic Survey, Div Biol Sci, Cambridge CB3 0ET, England; Inst Marine Res, N-5817 Bergen, Norway; Natl Marine Informat &amp; Res Ctr, Swakopmund, Namibia</t>
  </si>
  <si>
    <t>Cape Peninsula University of Technology; University of the Western Cape; Centre National de la Recherche Scientifique (CNRS); Sorbonne Universite; UK Research &amp; Innovation (UKRI); Natural Environment Research Council (NERC); NERC British Antarctic Survey; Institute of Marine Research - Norway</t>
  </si>
  <si>
    <t>Sparks, C (corresponding author), Cape Technikon, Fac Sci Appl, Box 652, ZA-8000 Cape Town, South Africa.</t>
  </si>
  <si>
    <t>Sparks, Conrad/AAQ-3307-2020; Sparks, Conrad/E-2768-2018; Gibbons, Mark/A-8806-2008; Brierley, Andrew/G-8019-2011</t>
  </si>
  <si>
    <t>Sparks, Conrad/0000-0001-9721-3544; Sparks, Conrad/0000-0001-9721-3544; Gibbons, Mark/0000-0002-8320-8151; Brierley, Andrew/0000-0002-6438-6892</t>
  </si>
  <si>
    <t>10.1023/A:1011829516239</t>
  </si>
  <si>
    <t>472CC</t>
  </si>
  <si>
    <t>WOS:000170964800022</t>
  </si>
  <si>
    <t>Yushkov, VA; Sitnikov, NM; Ulanovskii, AE; Ravegnani, F; Redaelli, G</t>
  </si>
  <si>
    <t>Measurements of the ozone and water vapor contents in the stratospheric Antarctic cyclone from the high-altitude M55 Geophysica Aircraft</t>
  </si>
  <si>
    <t>DEHYDRATION</t>
  </si>
  <si>
    <t>Ozone and water vapor contents simultaneously measured in the stratospheric Antarctic cyclone from aboard the M55 Geophysica high-altitude aircraft during the APE-GAIA Antarctic campaign in September-October 1999 are presented. Examinations of the so-called ozone hole showed that, at the height of the ozone stratospheric maximum, the ozone partial pressure was no more than 1 mPa; i.e., it did not exceed the tropospheric ozone partial pressure. A chemically disturbed stratospheric region with a pronounced boundary located at a height of 17 to 18 km and characterized by simultaneous abrupt changes in the concentrations of ozone (by a factor of 6) and water vapor (by a factor of 1.5-2.0) was revealed. It is noted that the existence of the ozone hole was accompanied by air-mass dehydration associated with the observed low temperatures favorable to the formation of polar stratospheric clouds. It is concluded that chemical processes of ozone destruction and dehydration processes proceeded within the same air mass. The stratospheric vertical ozone profiles in the area of the ozone hole were measured.</t>
  </si>
  <si>
    <t>Cent Aerol Observ, Dolgoprudnyi 141700, Moscow Oblast, Russia; Inst Sci Atmosfera Oceano, I-40129 Bologna, Italy; Univ Aquila, I-67010 Laquila, Italy</t>
  </si>
  <si>
    <t>University of L'Aquila</t>
  </si>
  <si>
    <t>Yushkov, VA (corresponding author), Cent Aerol Observ, Ul Pervomaiskaya 3, Dolgoprudnyi 141700, Moscow Oblast, Russia.</t>
  </si>
  <si>
    <t>Ravegnani, Fabrizio/AAM-5467-2021; Ravegnani, Fabrizio/A-7800-2009; Redaelli, Gianluca/GZX-3219-2022</t>
  </si>
  <si>
    <t>Ravegnani, Fabrizio/0000-0003-0735-9297; Ravegnani, Fabrizio/0000-0003-0735-9297; Redaelli, Gianluca/0000-0002-4449-1513</t>
  </si>
  <si>
    <t>450LU</t>
  </si>
  <si>
    <t>WOS:000169745000002</t>
  </si>
  <si>
    <t>Alekseev, GV; Johannessen, OM; Kovalevskii, DV</t>
  </si>
  <si>
    <t>Development of convective motions under the effect of local perturbations of sea-surface density</t>
  </si>
  <si>
    <t>OCEAN DEEP CONVECTION; GREENLAND SEA; WINTER</t>
  </si>
  <si>
    <t>Using the density diffusion equation, we construct a nonhydrostatic model for the dynamics of localized perturbations of density in deep-convection areas. The model allows for analytical treatment in (1) describing liquid downward motions immediately in the center of a localized anomaly and (2) considering the slow dynamics of an anomaly as a whole. For these cases, particular analytical solutions were obtained. Formulas were derived for the characteristic velocity of downward motion. Calculations and estimates are given for the deep-convection area in the Greenland Sea.</t>
  </si>
  <si>
    <t>Arctic &amp; Antarctic Res Inst, St Petersburg 199397, Russia; Univ Bergen, Inst Geophys, Nansen Environm &amp; Remote Sensing Ctr, Bergen, Norway; Nansen Int Environm &amp; Remote Sensing Ctr, St Petersburg 197110, Russia</t>
  </si>
  <si>
    <t>Arctic &amp; Antarctic Research Institute; Nansen Environmental &amp; Remote Sensing Center (NERSC); University of Bergen; Nansen Environmental &amp; Remote Sensing Center (NERSC)</t>
  </si>
  <si>
    <t>Alekseev, GV (corresponding author), Arctic &amp; Antarctic Res Inst, Ul Beringa 38, St Petersburg 199397, Russia.</t>
  </si>
  <si>
    <t>alexgv@aari.nw.ru; ola.johannessen@nrsc.no; dmitry.kovalevsky@niersc.spb.ru</t>
  </si>
  <si>
    <t>Kovalevsky, Dmitry/K-7994-2012</t>
  </si>
  <si>
    <t>Kovalevsky, Dmitry/0000-0001-7331-1406</t>
  </si>
  <si>
    <t>WOS:000169745000010</t>
  </si>
  <si>
    <t>Wilson, RS; Franklin, CE; Davison, W; Kraft, P</t>
  </si>
  <si>
    <t>Stenotherms at sub-zero temperatures: thermal dependence of swimming performance in Antarctic fish</t>
  </si>
  <si>
    <t>JOURNAL OF COMPARATIVE PHYSIOLOGY B-BIOCHEMICAL SYSTEMIC AND ENVIRONMENTAL PHYSIOLOGY</t>
  </si>
  <si>
    <t>thermal sensitivity; specialist; trade-off; acclimation; phenotypic plasticity</t>
  </si>
  <si>
    <t>MUSCLE POWER OUTPUT; EVOLUTIONARY ADAPTATION; LOCOMOTOR PERFORMANCE; TREMATOMUS-BERNACCHII; ESCAPE PERFORMANCE; MARINE FISH; ACCLIMATION; SENSITIVITY; RESPONSES; NOTOTHENIIDAE</t>
  </si>
  <si>
    <t>We examined the burst swimming performance of two Antarctic fishes, Trematomus bernacchii and T. centronotus, at five temperatures between -1 degreesC and 10 degreesC. As Antarctic fishes are considered one of the most cold specialised and stenothermal of all ectotherms, we predicted they would possess a narrow thermal performance breadth for burst swimming and a correlative decrease in performance at high temperatures. Burst swimming was assessed by videotaping swimming sequences with a 50-Hz video camera and analysing the sequences frame-by-frame to determine maximum velocity, the distance moved throughout the initial 200 ms, and the time taken to reach maximum velocity. In contrast to our prediction, we found both species possessed a wide thermal performance breadth for burst swimming. Although maximum swimming velocity for both T. bernacchii and T. centronotus was significantly highest at 6 degreesC, maximum velocity at ah other test temperatures was less than 20% lower. Thus, it appears that specialisation to a highly stable and cold environment is not necessarily associated with a narrow thermal performance breadth for burst swimming in Antarctic fish. We also examined the ability of the Antarctic fish Pagothenia borchgrevinki to acclimate their burst-swimming performance to different temperatures. We exposed P, borchgrevinki to either -1 degreesC or 4 degreesC for 4 weeks and tested their burst-swimming performance at four temperatures between -1 degreesC and 10 degreesC. Burst-swimming performance of Pagothenia borchgrevinki was unaffected by exposure to either -1 degreesC or 4 degreesC for 4 weeks. Maximum swimming velocity of both acclimation groups was thermally independent over the total temperature range of -1 degreesC to 10 degreesC. Therefore, the loss of any capacity to restructure the phenotype and an inability to thermally acclimate swimming performance appears to be associated with inhabiting a highly stable thermal environment.</t>
  </si>
  <si>
    <t>Univ Canterbury, Dept Zool, Christchurch, New Zealand; Univ Queensland, Dept Zool &amp; Entomol, Physiol Ecol Lab, St Lucia, Qld 4072, Australia</t>
  </si>
  <si>
    <t>University of Canterbury; University of Queensland</t>
  </si>
  <si>
    <t>Wilson, RS (corresponding author), Univ Instelling Antwerp, Dept Biol, Univ Pl 1, B-2610 Wilrijk, Belgium.</t>
  </si>
  <si>
    <t>Wilson, Robbie S/F-1463-2011; Franklin, Craig/G-7343-2012</t>
  </si>
  <si>
    <t>Wilson, Robbie/0000-0002-0116-5427; Franklin, Craig/0000-0003-1315-3797</t>
  </si>
  <si>
    <t>0174-1578</t>
  </si>
  <si>
    <t>J COMP PHYSIOL B</t>
  </si>
  <si>
    <t>J. Comp. Physiol. B-Biochem. Syst. Environ. Physiol.</t>
  </si>
  <si>
    <t>10.1007/s003600000172</t>
  </si>
  <si>
    <t>Physiology; Zoology</t>
  </si>
  <si>
    <t>436RD</t>
  </si>
  <si>
    <t>WOS:000168948400001</t>
  </si>
  <si>
    <t>Coleman, CO; Jäger, I</t>
  </si>
  <si>
    <t>Acanthonotozomella rauscherti (Amphipoda, Acanthonotozomellidae), a new species from the Antarctic ocean</t>
  </si>
  <si>
    <t>JOURNAL OF CRUSTACEAN BIOLOGY</t>
  </si>
  <si>
    <t>A new species of amphipod crustacean (Acanthonotozomellidae) from the deep-sea of the Drake Passage is described in detail. Its main characteristics that are unique for this species are: slender dorsal carinae on pereon on pleon; small cuticular teeth all over the dorsal surface, the carinae and the coral plates; coxa 1 with deeply excavate apex.</t>
  </si>
  <si>
    <t>Museum Nat Kunde, Inst Systemat Zool, D-10115 Berlin, Germany</t>
  </si>
  <si>
    <t>Coleman, CO (corresponding author), Museum Nat Kunde, Inst Systemat Zool, Invalidenstr 43, D-10115 Berlin, Germany.</t>
  </si>
  <si>
    <t>oliver.coleman@rz.hu-berlin.de</t>
  </si>
  <si>
    <t>0278-0372</t>
  </si>
  <si>
    <t>1937-240X</t>
  </si>
  <si>
    <t>J CRUSTACEAN BIOL</t>
  </si>
  <si>
    <t>J. Crustac. Biol.</t>
  </si>
  <si>
    <t>10.1651/0278-0372(2001)021[0475:ARAAAN]2.0.CO;2</t>
  </si>
  <si>
    <t>426EW</t>
  </si>
  <si>
    <t>WOS:000168337700019</t>
  </si>
  <si>
    <t>Lisano, ME; Schutz, BE</t>
  </si>
  <si>
    <t>Arcsecond-level pointing calibration for ICESat laser altimetry of ice sheets</t>
  </si>
  <si>
    <t>JOURNAL OF GEODESY</t>
  </si>
  <si>
    <t>ICESat; GLAS; calibration; pointing determination; ice-sheet altimetry</t>
  </si>
  <si>
    <t>Arcsecond-level accuracy of NASA's ICESat (Ice, Cloud, and land Elevation Satellite) satellite laser altimeter beam pointing angle is required to satisfy the scientific goal of detecting centimeter-level elevation changes, over time, in the Greenland and Antarctic ice sheets. Two different approaches, termed topographic inferred and direct detection, were examined for calibrating the laser pointing angle (that is, detecting and removing pointing determination bias) at the 1.5-arcsec level, using information independent of the onboard pointing instrumentation. Both approaches entail estimating the beam pointing by differencing the three-dimensional position of the altimeter instrument and the laser-beam spot (or footprint) location on the ground. Analytical assessments of the two approaches are discussed. along with recommendations for the ICESat pointing determination calibration strategy.</t>
  </si>
  <si>
    <t>CALTECH, Jet Prop Lab, Pasadena, CA 91109 USA; Univ Texas, Ctr Space Res, Austin, TX 78712 USA</t>
  </si>
  <si>
    <t>California Institute of Technology; National Aeronautics &amp; Space Administration (NASA); NASA Jet Propulsion Laboratory (JPL); University of Texas System; University of Texas Austin</t>
  </si>
  <si>
    <t>Lisano, ME (corresponding author), CALTECH, Jet Prop Lab, 4800 Oak Grove Dr, Pasadena, CA 91109 USA.</t>
  </si>
  <si>
    <t>0949-7714</t>
  </si>
  <si>
    <t>J GEODESY</t>
  </si>
  <si>
    <t>J. Geodesy</t>
  </si>
  <si>
    <t>10.1007/s001900000156</t>
  </si>
  <si>
    <t>Geochemistry &amp; Geophysics; Remote Sensing</t>
  </si>
  <si>
    <t>438FD</t>
  </si>
  <si>
    <t>WOS:000169042200004</t>
  </si>
  <si>
    <t>Sarikaya, M; Fong, H; Sunderland, N; Flinn, BD; Mayer, G; Mescher, A; Gaino, E</t>
  </si>
  <si>
    <t>Biomimetic model of a sponge-spicular optical fiber - mechanical properties and structure</t>
  </si>
  <si>
    <t>JOURNAL OF MATERIALS RESEARCH</t>
  </si>
  <si>
    <t>Nanomechanical properties, nanohardness and elastic modulus, of an Antarctic sponge Rosella racovitzea were determined by using a vertical indentation system attached to an atomic force microscope. The Rosella spicules, known to have optical waveguide properties, are 10-20 cm long with a circular cross section of diameter 200-600 mum. The spicules are composed of 2-10-mum-thick layers of siliceous material that has no detectable crystallinity. Measurements through the thickness of the spicules indicated uniform properties regardless of layering. Both the elastic modulus and nanohardness values of the spicules are about half of that of either fused silica or commercial glass optical fibers. The fracture strength and fracture energy of the spicules, determined by 3-point bend tests, are several times those of silica rods of similar diameter. These sponge spicules are highly flexible and tough possibly because of their layered structure and hydrated nature of the silica. The spicules offer bioinspired lessons for potential biomimetic design of optical fibers with long-term durability that could potentially be fabricated at room temperature in aqueous solutions.</t>
  </si>
  <si>
    <t>Univ Washington, Seattle, WA 98195 USA; Univ Perugia, Inst Zool, I-06100 Perugia, Italy</t>
  </si>
  <si>
    <t>University of Washington; University of Washington Seattle; University of Perugia</t>
  </si>
  <si>
    <t>Sarikaya, M (corresponding author), Univ Washington, Seattle, WA 98195 USA.</t>
  </si>
  <si>
    <t>Flinn, Brian D/A-4121-2011; Sarikaya, Mehmet/M-5602-2019</t>
  </si>
  <si>
    <t>Sarikaya, Mehmet/0000-0003-3856-6360; Mayer, Georgy V./0009-0003-2305-0211</t>
  </si>
  <si>
    <t>MATERIALS RESEARCH SOCIETY</t>
  </si>
  <si>
    <t>WARRENDALE</t>
  </si>
  <si>
    <t>506 KEYSTONE DR, WARRENDALE, PA 15086 USA</t>
  </si>
  <si>
    <t>0884-2914</t>
  </si>
  <si>
    <t>J MATER RES</t>
  </si>
  <si>
    <t>J. Mater. Res.</t>
  </si>
  <si>
    <t>10.1557/JMR.2001.0198</t>
  </si>
  <si>
    <t>Materials Science, Multidisciplinary</t>
  </si>
  <si>
    <t>Materials Science</t>
  </si>
  <si>
    <t>429AW</t>
  </si>
  <si>
    <t>WOS:000168494700031</t>
  </si>
  <si>
    <t>Welsch, U; Ramdohr, S; Riedelsheimer, B; Hebel, R; Eisert, R; Plötz, J</t>
  </si>
  <si>
    <t>Microscopic anatomy of the eye of the deep-diving antarctic weddell seal (Lepfonychotes weddellii)</t>
  </si>
  <si>
    <t>Weddell seal; seals; eye; accommodation; canal of Schlemm; retina; photoreceptors; area centralis</t>
  </si>
  <si>
    <t>HARBOR SEAL; RETINA; LIONS</t>
  </si>
  <si>
    <t>The microscopic anatomy of the eye of the Weddell seal was studied with various light and electron microscopic methods with a view to correlating morphological findings with the biology of this seal which is adapted to the extremes of the Antarctic environment and to extreme diving excursions into the lightless depths of the sea. In the retina an area centralis was found but no fovea centralis. The densely packed photoreceptors consist exclusively of highly differentiated rods, which in primates detect light at low intensity but have rather poor image discrimination. The ganglion cells are relatively scarce, suggesting a high degree of convergence of the light-sensitive cells on the ganglion cells. The pigment epithelium is almost devoid of pigment granules. The extensive tapetum lucidum is about 400-500 mum thick and is composed of about 30 layers of specialized cells. The cornea is 650 (center) to 800-900 (periphery) mum thick. Its structure and glycosaminoglycan histochemistry correspond to that of other mammals. The iridocorneal angle is unusually deep and pervaded by an elaborate trabecular meshwork, which together with a complex canal of Schlemm can be correlated with the ability to absorb large amounts of fluid. The ciliary muscle and its antagonist, the membrane of Bruch, are poorly developed, suggesting relatively poor abilities of accommodation. The combination of a well-developed tapetum lucidum, an unpigmented pigment epithelium, well-developed rods, and a high number of rods converging on only few ganglion cells is obviously an adaptation to an extreme light sensitivity, enabling the animals to make use of the little fight available in the deep sea. J. Morphol. 248:165-174, 2001. (C) 2001 Wiley-Liss, Inc.</t>
  </si>
  <si>
    <t>Univ Munich, D-80539 Munich, Germany; Alfred Wegener Inst Polar &amp; Marine Res, Bremerhaven, Germany; Lincoln Univ, Anim &amp; Food Sci Div, Canterbury, New Zealand</t>
  </si>
  <si>
    <t>University of Munich; Helmholtz Association; Alfred Wegener Institute, Helmholtz Centre for Polar &amp; Marine Research; Lincoln University - New Zealand</t>
  </si>
  <si>
    <t>Welsch, U (corresponding author), Pettenkoferstr 11, D-80336 Munich, Germany.</t>
  </si>
  <si>
    <t>welsch@anat.med.uni-muenchen.de</t>
  </si>
  <si>
    <t>Eisert, Regina/0000-0002-8980-7673</t>
  </si>
  <si>
    <t>1097-4687</t>
  </si>
  <si>
    <t>10.1002/jmor.1027</t>
  </si>
  <si>
    <t>424ZW</t>
  </si>
  <si>
    <t>WOS:000168264700006</t>
  </si>
  <si>
    <t>Berger, GW; Doran, PT</t>
  </si>
  <si>
    <t>Luminescence-dating zeroing tests in Lake Hoare, Taylor Valley, Antarctica</t>
  </si>
  <si>
    <t>JOURNAL OF PALEOLIMNOLOGY</t>
  </si>
  <si>
    <t>Antarctica; geochronology; dating; lakes; sediments; luminescence</t>
  </si>
  <si>
    <t>MCMURDO DRY VALLEYS; CENTRAL BRITISH-COLUMBIA; THERMO-LUMINESCENCE; EAST ANTARCTICA; MARINE-SEDIMENTS; DOSE-RESPONSE; ICE COVER; THERMOLUMINESCENCE; RADIOCARBON; ALPHA</t>
  </si>
  <si>
    <t>In two of the perennially ice-covered lakes in the McMurdo Dry Valleys, lakes Hoare and Bonney in the Taylor Valley, bottom water has C-14 ages of similar to2.7 ka and similar to 10 ka (respectively), rendering C-14 ages of bottom sediments highly problematic. Consequently, we tested the effectiveness of thermoluminescence (TL) zeroing in polymineral fine silt material from several depositional environments around and on the lake (stream suspensions, ice-surface sand dune, and silty sand from near the top of the more-than-3m-thick ice). We also conducted TL and infrared-stimulated-luminescence (IRSL) dating tests on material from three box cores recovered from the bottom of Lake Hoare, in a transect away from the abutting Canada Glacier. We observed effective zeroing of light-sensitive TL in suspended silt from one input stream and less effective zeroing from another stream. We observed effective zeroing of light-sensitive TL also in silt from a glacier-proximal eolian ice-surface dune and from sand from within the upper 5 cm of ice. In contrast, in box-core 1, the bottom sediment yielded minimum TL apparent ages of 1500-2600 yrs, with no discernable stratigraphic depth trend. IRSL dating applied to the same box-core samples produced significantly lower age estimates, ranging from 600 +/- 200 yrs to 1440 +/- 270 yrs top-to-bottom, an improvement over the depth-constant 2200 yrs TL ages. In two other cores closer to the Canada Glacier, IRSL ages from 600 +/- 200 yrs (top) to 2900 +/- 300 yrs (at depth) were measured. Not only are the IRSL ages a significant improvement over the TL results, but the near-core-top IRSL ages are also a dramatic improvement over the C-14 results (2.7 ka). IRSL dating has a demonstrated potential to supplant C-14 dating for such antarctic lacustrine deposits.</t>
  </si>
  <si>
    <t>Desert Res Inst, Reno, NV 89512 USA; Univ Illinois, Dept Earth &amp; Environm Sci, Chicago, IL 60607 USA</t>
  </si>
  <si>
    <t>Nevada System of Higher Education (NSHE); Desert Research Institute NSHE; University of Illinois System; University of Illinois Chicago; University of Illinois Chicago Hospital</t>
  </si>
  <si>
    <t>Berger, GW (corresponding author), Desert Res Inst, 2215 Raggio Pkwy, Reno, NV 89512 USA.</t>
  </si>
  <si>
    <t>0921-2728</t>
  </si>
  <si>
    <t>J PALEOLIMNOL</t>
  </si>
  <si>
    <t>J. Paleolimn.</t>
  </si>
  <si>
    <t>10.1023/A:1011144502713</t>
  </si>
  <si>
    <t>Environmental Sciences; Geosciences, Multidisciplinary; Limnology</t>
  </si>
  <si>
    <t>Environmental Sciences &amp; Ecology; Geology; Marine &amp; Freshwater Biology</t>
  </si>
  <si>
    <t>429VG</t>
  </si>
  <si>
    <t>WOS:000168538000009</t>
  </si>
  <si>
    <t>Seidov, D; Maslin, M</t>
  </si>
  <si>
    <t>Atlantic Ocean heat piracy and the bipolar climate see-saw during Heinrich and Dansgaard-Oeschger events</t>
  </si>
  <si>
    <t>JOURNAL OF QUATERNARY SCIENCE</t>
  </si>
  <si>
    <t>bipolar climate see-saw; Heinrich events; Dansgaard-Oeschger cycles; hemispheric heat piracy; deep-water circulation; ocean circulation modelling</t>
  </si>
  <si>
    <t>LAST GLACIAL MAXIMUM; GLOBAL THERMOHALINE CIRCULATION; FRESH-WATER INPUT; NORTH-ATLANTIC; WORLD OCEAN; YOUNGER-DRYAS; MODEL; ICE; TRANSPORT; SENSITIVITY</t>
  </si>
  <si>
    <t>The millennial-scale asynchrony of Antarctic and Greenland climate records during the last glacial period implies that the global climate system acts as a bipolar see-saw driven by either high-latitudinal and/or near-equatorial sea-surface perturbations. Based on the results of recent modelling of generic Heinrich and Dansgaard-Oeschger scenarios, we discuss the possibility that oscillations of the deep-ocean conveyor may have been sufficient to cause this bipolar see-saw. The bipolar climate asynchrony in our scenarios is caused by the toggle between North Atlantic heat piracy and South Atlantic counter heat piracy. Ocean circulation has an enhanced sensitivity to the northern deep-water source as the North Atlantic Deep Water (NADW) cannot enter the Southern Ocean at depths shallower than the bottom of the Drake Passage. Any shoaling of the NADW can, therefore, increase the northward incursion of Antarctic Bottom Water (AABW), and trigger an interhemispheric climate oscillation. As hundreds of years are required to warm the respective high latitudes, the observed climate lead and lags between the two hemispheres can be explained entirely by the variability of the meridional overturning and by the corresponding change in the oceanic heat transport. Accordingly, it is entirely feasible for the global climate to work like a pendulum, which theoretically could be controlled by pushing at either of the deep-water sources. Our model scenarios suggest that it is entirely feasible for the bipolar climate see-saw to be controlled solely by variations in NADW formation. Copyright (C) 2001 John Wiley &amp; Sons, Ltd.</t>
  </si>
  <si>
    <t>Penn State Univ, Ctr Earth Syst Sci, University Pk, PA 16802 USA; UCL, Dept Geog, Environm Change Res Ctr, London WC1H 0AP, England</t>
  </si>
  <si>
    <t>Pennsylvania Commonwealth System of Higher Education (PCSHE); Pennsylvania State University; Pennsylvania State University - University Park; University of London; University College London</t>
  </si>
  <si>
    <t>Seidov, D (corresponding author), Penn State Univ, Ctr Earth Syst Sci, 2217 Earth Engn Sci Bldg, University Pk, PA 16802 USA.</t>
  </si>
  <si>
    <t>Maslin, Mark/0000-0001-9957-3463; Seidov, Dan/0000-0001-7090-9779</t>
  </si>
  <si>
    <t>COMMERCE PLACE, 350 MAIN ST, MALDEN 02148, MA USA</t>
  </si>
  <si>
    <t>0267-8179</t>
  </si>
  <si>
    <t>J QUATERNARY SCI</t>
  </si>
  <si>
    <t>J. Quat. Sci.</t>
  </si>
  <si>
    <t>10.1002/jqs.595</t>
  </si>
  <si>
    <t>437TL</t>
  </si>
  <si>
    <t>WOS:000169009600004</t>
  </si>
  <si>
    <t>Chapuis, JL; Boussés, P; Pisanu, B; Réale, D</t>
  </si>
  <si>
    <t>Comparative rumen and fecal diet microhistological determinations of European mouflon</t>
  </si>
  <si>
    <t>JOURNAL OF RANGE MANAGEMENT</t>
  </si>
  <si>
    <t>diet analysis; rumen; feces; Ovis musimon</t>
  </si>
  <si>
    <t>STOMACH CONTENTS; PLANT FRAGMENTS; FECES; IDENTIFICATION; SAMPLES; VOLE</t>
  </si>
  <si>
    <t>The population of European mouflon (Ovis musimon Pallas) established on an island of the sub-Antarctic Kerguelen archipelago is characterized by a demographic cycle. Every 2-5 years, there is a massive winter mortality due to food shortage. A good knowledge of food resources utilization appeared essential to understand the population growth dynamics. We investigated the validity of the microhistological analysis of feces by a comparative analysis of 30 paired rumen and fecal samples collected in winter. Sixteen and 17 food items were identified respectively in rumen and fecal samples. Most fragments could be accurately determined because plant diversity was low. Both methods gave similar results Though quantitative differences appeared between methods for some items, the same 4 major food constituents were identified in relatively close proportions in both rumen and fecal samples. There is a risk of slight overestimation of annual meadow-grass (Poa annua L,) and mosses in feces, and of Azorella selago Hook, f. in the rumen.</t>
  </si>
  <si>
    <t>Museum Natl Hist Nat, F-75005 Paris, France</t>
  </si>
  <si>
    <t>Museum National d'Histoire Naturelle (MNHN)</t>
  </si>
  <si>
    <t>Museum Natl Hist Nat, 36 Rue Geoffroy St Hilaire, F-75005 Paris, France.</t>
  </si>
  <si>
    <t>REALE, Denis/AAG-1571-2020</t>
  </si>
  <si>
    <t>REALE, Denis/0000-0002-0419-7125</t>
  </si>
  <si>
    <t>SOC RANGE MANAGEMENT</t>
  </si>
  <si>
    <t>LAKEWOOD</t>
  </si>
  <si>
    <t>445 UNION BLVD, STE 230, LAKEWOOD, CO 80228-1259 USA</t>
  </si>
  <si>
    <t>0022-409X</t>
  </si>
  <si>
    <t>J RANGE MANAGE</t>
  </si>
  <si>
    <t>J. Range Manage.</t>
  </si>
  <si>
    <t>10.2307/4003240</t>
  </si>
  <si>
    <t>Agriculture, Dairy &amp; Animal Science; Ecology</t>
  </si>
  <si>
    <t>Agriculture; Environmental Sciences &amp; Ecology</t>
  </si>
  <si>
    <t>431MA</t>
  </si>
  <si>
    <t>WOS:000168634000005</t>
  </si>
  <si>
    <t>Francis, GL; Salby, ML</t>
  </si>
  <si>
    <t>Radiative influence of Antarctica on the polar-night vortex</t>
  </si>
  <si>
    <t>JOURNAL OF THE ATMOSPHERIC SCIENCES</t>
  </si>
  <si>
    <t>BAROTROPIC PRIMITIVE EQUATIONS; HOUGH HARMONIC EXPANSIONS; ZONAL MEAN CIRCULATION; MIDDLE ATMOSPHERE; NUMERICAL-MODEL; SPECTRAL MODEL; STRATOPAUSE; DESCENT; WINTER; AIR</t>
  </si>
  <si>
    <t>Temperatures over the Antarctic plateau are sharply colder than those over its maritime surroundings. The sharp temperature contrast due to Antarctica is conveyed upward through 9.6-mum absorption by ozone, which shapes the thermal structure in the stratosphere. The radiative impact of Antarctica on the polar stratosphere is investigated in three-dimensional integrations of the nonlinear primitive equations, coupled to a full radiative-transfer calculation that is performed with and without clouds. Cooling associated with Antarctica depresses radiative-equilibrium temperatures by as much as 10 K. This direct radiative influence emerges clearly at high latitudes of the lowermost stratosphere. It is accompanied elsewhere by temperature changes of opposite sign, which result indirectly through adiabatic warming by the induced residual meridional circulation. Collectively, these influences reinforce the polar-night vortex, shift the jet axis poleward, and intensify downward transport over the polar cap by the residual circulation. In this way, radiative forcing from below contributes significantly to the features that distinguish the Antarctic vortex from the Arctic vortex.</t>
  </si>
  <si>
    <t>Natl Ctr Atmospher Res, Div Atmospher Chem, Boulder, CO 80307 USA; Univ Colorado, Boulder, CO 80309 USA</t>
  </si>
  <si>
    <t>National Center Atmospheric Research (NCAR) - USA; University of Colorado System; University of Colorado Boulder</t>
  </si>
  <si>
    <t>Francis, GL (corresponding author), Natl Ctr Atmospher Res, Div Atmospher Chem, Boulder, CO 80307 USA.</t>
  </si>
  <si>
    <t>0022-4928</t>
  </si>
  <si>
    <t>J ATMOS SCI</t>
  </si>
  <si>
    <t>J. Atmos. Sci.</t>
  </si>
  <si>
    <t>10.1175/1520-0469(2001)058&lt;1300:RIOAOT&gt;2.0.CO;2</t>
  </si>
  <si>
    <t>430EZ</t>
  </si>
  <si>
    <t>WOS:000168562700007</t>
  </si>
  <si>
    <t>Linn, ML; Gardner, J; Warrilow, D; Darnell, GA; McMahon, CR; Field, I; Hyatt, AD; Slade, RW; Suhrbier, A</t>
  </si>
  <si>
    <t>Arbovirus of marine mammals:: a new alphavirus isolated from the elephant seal louse, Lepidophthirus macrorhini</t>
  </si>
  <si>
    <t>JOURNAL OF VIROLOGY</t>
  </si>
  <si>
    <t>MACQUARIE ISLAND; PHYLOGENETIC TREES; MIROUNGA-LEONINA; DISEASE VIRUS; EVOLUTION; SEQUENCE; RNA</t>
  </si>
  <si>
    <t>A novel alphavirus was isolated from the louse Lepidophthirus macrorhini, collected from southern elephant seals, Mirounga leonina, on Macquarie Island, Australia. The virus displayed classic alphavirus ultrastructure and appeared to be serologically different from known Australasian alphaviruses. Nearly all Macquarie Island elephant seals tested had neutralizing antibodies against the virus, but no virus-associated pathology has been identified, Antarctic Division personnel who have worked extensively with elephant seals showed no serological evidence of exposure to the virus. Sequence analysis illustrated that the southern elephant seal (SES) virus segregates,vith the Semliki Forest group of Australasian alphaviruses. Phylogenetic analysis of known alphaviruses suggests that alphaviruses might be grouped according to their enzootic vertebrate host class, The SES virus represents the first arbovirus of marine mammals and illustrates that alphaviruses can inhabit Antarctica and that alphaviruses can be transmitted by lice.</t>
  </si>
  <si>
    <t>Queensland Inst Med Res, Australian Ctr Int &amp; Trop Hlth &amp; Nutr, Brisbane, Qld 4006, Australia; Univ Queensland, Brisbane, Qld, Australia; CSIRO, Australian Anim Hlth Lab, Geelong, Vic, Australia; Australian Antarctic Div, Kingston, Tas, Australia; Univ Queensland, Australian Genome Res Facil, St Lucia, Qld 4067, Australia; So Cross Univ, Grad Res Coll, Lismore, NSW, Australia</t>
  </si>
  <si>
    <t>QIMR Berghofer Medical Research Institute; University of Queensland; Commonwealth Scientific &amp; Industrial Research Organisation (CSIRO); Australian Antarctic Division; University of Queensland; Southern Cross University</t>
  </si>
  <si>
    <t>Suhrbier, A (corresponding author), Royal Brisbane Hosp, Queensland Inst Med Res, Post Off, Brisbane, Qld 4029, Australia.</t>
  </si>
  <si>
    <t>McMahon, Clive R/D-5713-2013</t>
  </si>
  <si>
    <t>McMahon, Clive R/0000-0001-5241-8917; Suhrbier, Andreas/0000-0001-8986-9025</t>
  </si>
  <si>
    <t>0022-538X</t>
  </si>
  <si>
    <t>J VIROL</t>
  </si>
  <si>
    <t>J. Virol.</t>
  </si>
  <si>
    <t>10.1128/JVI.75.9.4103-4109.2001</t>
  </si>
  <si>
    <t>Virology</t>
  </si>
  <si>
    <t>421PN</t>
  </si>
  <si>
    <t>WOS:000168072900009</t>
  </si>
  <si>
    <t>Banaszak, AT; Neale, PJ</t>
  </si>
  <si>
    <t>Ultraviolet radiation sensitivity of photosynthesis in phytoplankton from an estuarine environment</t>
  </si>
  <si>
    <t>UV-ABSORBING COMPOUNDS; B RADIATION; ANTARCTIC PHYTOPLANKTON; MARINE-PHYTOPLANKTON; OZONE DEPLETION; ANACYSTIS-NIDULANS; AMINO-ACIDS; PHOTOINHIBITION; INHIBITION; LIGHT</t>
  </si>
  <si>
    <t>We have studied temporal variation in the sensitivity of phytoplankton photosynthesis to inhibition by ultraviolet radiation (UV; 280-400 nm) using biological weighting functions (BWFs) that quantify the biological effect of different wavelengths of UV. Variations in irradiance-dependent BWFs were evaluated for natural phytoplankton assemblages from the Rhode River, a shallow subestuary of the Chesapeake Bay, Maryland, from October 1994 to July 1996. Phytoplankton assemblages were sensitive to UV throughout the year. Rhode River assemblages are inhibited more strongly in the UV-B (280-320 nm), particularly below 300 nm, but there is a significant influence well into the W-A (320-400 nm). There was no inhibition of phytoplankton photosynthesis by photosynthetically available radiation (400-700 nm), but there was significant seasonal variation in the saturated rate of photosynthesis (P-s(B)) and in the light saturation parameter (E-s). There was little variation in seasonal average BWFs through the year, but then was considerable variation in BWFs during each season. Individual BWFs varied both in absolute values of the weightings (reciprocal [mW m(-2)]) and in the spectral shape or relative effect of UV-B versus UV-A, which may be due to changes in species composition, light, temperature, and nutrient availability. Comparison of the most sensitive assemblage (spring) with the least sensitive assemblage (winter) indicates that these BWFs are close to the upper and lower bounds in sensitivity for irradiance-dependent BWFs from all natural and cultured phytoplankton populations. The average, absolute spectral weightings for inhibition of photosynthesis in assemblages from the Rhode River an similar to an average BWF for Antarctic assemblages.</t>
  </si>
  <si>
    <t>Neale, Patrick/A-3683-2012; Banaszak, Anastazia Teresa/H-6362-2019</t>
  </si>
  <si>
    <t>AMER SOC LIMNOLOGY OCEANOGRAPHY</t>
  </si>
  <si>
    <t>WACO</t>
  </si>
  <si>
    <t>5400 BOSQUE BLVD, STE 680, WACO, TX 76710-4446 USA</t>
  </si>
  <si>
    <t>10.4319/lo.2001.46.3.0592</t>
  </si>
  <si>
    <t>429HV</t>
  </si>
  <si>
    <t>WOS:000168511500012</t>
  </si>
  <si>
    <t>Svoboda, A; Stepanjants, SD</t>
  </si>
  <si>
    <t>Redescription of two Antarctic corymorphidae species and the reestablishment of the genus Monocaulus (Cnidaria: Hydrozoa)</t>
  </si>
  <si>
    <t>MARINE ECOLOGY-PUBBLICAZIONI DELLA STAZIONE ZOOLOGICA DI NAPOLI I</t>
  </si>
  <si>
    <t>Antarctic; Arctic; bipolarity; hydroids; polyps; gonophores; blastostyles; Lampra; Monocaulus; Gymnogonos; Corymorphinae</t>
  </si>
  <si>
    <t>New material from the Antarctic region offers the opportunity for the redescription of two known Antarctic Corymorphidae species: Lampra microrhiza and L. parvula. The assignment of these species into genus Monocaulus (Allman 1864) (= Lampra Bonnevie 1898) is discussed. The Antarctic Monocaulus species are compared with the Arctic representatives of this genus.</t>
  </si>
  <si>
    <t>Ruhr Univ Bochum, Lehrstuhl Spezielle Zool, D-44780 Bochum, Germany; Russian Acad Sci, Inst Zool, St Petersburg 199034, Russia</t>
  </si>
  <si>
    <t>Ruhr University Bochum; Russian Academy of Sciences; Zoological Institute of the Russian Academy of Sciences</t>
  </si>
  <si>
    <t>Svoboda, A (corresponding author), Ruhr Univ Bochum, Lehrstuhl Spezielle Zool, Univ Str 150, D-44780 Bochum, Germany.</t>
  </si>
  <si>
    <t>BLACKWELL WISSENSCHAFTS-VERLAG GMBH</t>
  </si>
  <si>
    <t>BERLIN</t>
  </si>
  <si>
    <t>KURFURSTENDAMM 57, D-10707 BERLIN, GERMANY</t>
  </si>
  <si>
    <t>0173-9565</t>
  </si>
  <si>
    <t>MAR ECOL-P S Z N I</t>
  </si>
  <si>
    <t>Mar. Ecol.-Pubbl. Stn. Zool. Napoli</t>
  </si>
  <si>
    <t>10.1046/j.1439-0485.2001.00742.x</t>
  </si>
  <si>
    <t>449KF</t>
  </si>
  <si>
    <t>WOS:000169683200006</t>
  </si>
  <si>
    <t>Kochkina, GA; Ivanushkina, NE; Karasev, SG; Gavrish, EY; Gurina, LV; Evtushenko, LI; Spirina, EV; Vorob'eva, EA; Gilichinskii, DA; Ozerskaya, SM</t>
  </si>
  <si>
    <t>Survival of micromycetes and actinobacteria under conditions of long-term natural cryopreservation</t>
  </si>
  <si>
    <t>permafrost; mycelial fungi; actinobacteria; identification</t>
  </si>
  <si>
    <t>Almost all of the investigated samples of the Arctic and Antarctic permafrost sediments of different genesis with ages from 5-10 thousand to 2-3 million years were found to contain viable micromycete and bacterial cells. The maximum amounts of viable cells of fungi (up to 10(4) CFU/g air-dried sample) and bacteria (up to 10(7)-10(9) CFU/g air-dried sample) were present in fine peaty sediment samples taken from different depths. The identified micromycetes belonged to more than 20 genera of the divisions Basidiomycota, Ascomycota, and Zygomycota, and some represented mitosporic fungi. Thawing the samples at 35 and 52 degreesC allowed the number of detected fungal genera to be increased by more than 30%. Aerobic heterotrophic prokaryotes were dominated by coryneform, nocardioform, and spore-forming microorganisms of the order Actinomycetales. Analysis of the isolated fungi and actinomycetes showed that most of them originated from the microbial communities of ancient terrestrial biocenoses.</t>
  </si>
  <si>
    <t>Russian Acad Sci, Skryabin Inst Biochem &amp; Physiol Microorganisms, Pushchino 142290, Moscow Oblast, Russia; Pushchino State Univ, Pushchino 142290, Moscow Oblast, Russia; Russian Acad Sci, Inst Physicochem &amp; Biol Problems Soil Sci, Pushchino 142290, Moscow Oblast, Russia; Moscow MV Lomonosov State Univ, Fac Soil Sci, Moscow 119899, Russia</t>
  </si>
  <si>
    <t>Russian Academy of Sciences; Pushchino Scientific Center for Biological Research (PSCBI) of the Russian Academy of Sciences; Russian Academy of Sciences; Pushchino Scientific Center for Biological Research (PSCBI) of the Russian Academy of Sciences; Institute of Physicohemical &amp; Biological Problems of Soil Science; Lomonosov Moscow State University</t>
  </si>
  <si>
    <t>Kochkina, GA (corresponding author), Russian Acad Sci, Skryabin Inst Biochem &amp; Physiol Microorganisms, Pr Nauki 5, Pushchino 142290, Moscow Oblast, Russia.</t>
  </si>
  <si>
    <t>KOCHKINA, GALINA/AAR-7765-2020; Nataliya, Ivanushkina/AAR-7639-2020; Евтушенко, Людмила/AAU-2542-2021; Ozerskaya, Svetlana M./C-3004-2008; Ozerskaya, Svetlana/J-3821-2018; Spirina, Elena/H-2654-2013</t>
  </si>
  <si>
    <t>KOCHKINA, GALINA/0000-0002-5893-7782; Nataliya, Ivanushkina/0000-0001-6720-6626; Ozerskaya, Svetlana/0000-0002-0373-7521; Spirina, Elena/0000-0002-9614-373X</t>
  </si>
  <si>
    <t>MAIK NAUKA/INTERPERIODICA</t>
  </si>
  <si>
    <t>C/O KLUWER ACADEMIC-PLENUM PUBLISHERS, 233 SPRING ST, NEW YORK, NY 10013-1578 USA</t>
  </si>
  <si>
    <t>10.1023/A:1010419831245</t>
  </si>
  <si>
    <t>449ER</t>
  </si>
  <si>
    <t>WOS:000169671800018</t>
  </si>
  <si>
    <t>Aislabie, J; Fraser, R; Duncan, S; Farrell, RL</t>
  </si>
  <si>
    <t>Effects of oil spills on microbial heterotrophs in Antarctic soils</t>
  </si>
  <si>
    <t>ARTHUR HARBOR; HYDROCARBONS; BIODEGRADATION; CONTAMINATION; FATE</t>
  </si>
  <si>
    <t>Oil spillage on the moist coastal soils of the Ross Sea region of Antarctica can impact on populations of microbial heterotrophs in these soils, as determined by viable plate counts and a most probable number technique. Elevated numbers of culturable hy hydrocarbon degraders. bacteria and fungi were detected in surface and subsurface soils from oil-contaminated sites. compared with nearby control sites. Culturable yeasts were not detected in soil from coastal control sites, yet reached &gt; 10(5) organisms g(-1) dry weight in contaminated soils. The presence of hydrocarbons in soils resulted in a shift in the genera of culturable filamentous fungi. Chrysosporium dominated control soils, yet Phialophora was more abundant in oil-contaminated soils. Hydrocarbon degraders are most likely bacteria; however, fungi could play a role in degradation of hydrocarbons or their metabolites. Depleted levels of nitrate detected in some contaminated soils and decreased pH may be the result of growth of hydrocarbon de-graders. Numbers and diversity of culturable microbes from Antarctic soil varied depending on whether a pristine site or a human-impacted (in this case, by fuel spills) site is studied.</t>
  </si>
  <si>
    <t>Landcare Res, Hamilton, New Zealand; Univ Waikato, Sch Biol Sci, Hamilton, New Zealand</t>
  </si>
  <si>
    <t>Landcare Research - New Zealand; University of Waikato</t>
  </si>
  <si>
    <t>Landcare Res, Private Bag 3127, Hamilton, New Zealand.</t>
  </si>
  <si>
    <t>aislabiej@landcare.cri.nz</t>
  </si>
  <si>
    <t>10.1007/s003000000210</t>
  </si>
  <si>
    <t>431GD</t>
  </si>
  <si>
    <t>WOS:000168622700002</t>
  </si>
  <si>
    <t>Salihoglu, B; Fraser, WR; Hofmann, EE</t>
  </si>
  <si>
    <t>Factors affecting fledging weight of Adelie penguin (Pygoscelis adeliae) chicks:: a modeling study</t>
  </si>
  <si>
    <t>KRILL EUPHAUSIA-SUPERBA; SOUTH-ORKNEY ISLANDS; KING-GEORGE-ISLAND; SEA-ICE EXTENT; ANTARCTIC KRILL; ENERGY-REQUIREMENTS; CHINSTRAP PENGUINS; GROWTH; FOOD; SEGREGATION</t>
  </si>
  <si>
    <t>An individual-based model is developed to examine mechanisms that potentially underlie the observed constancy in fledging weight (2.8-3.2 kg) of Adelie (4Pygoscelis adeliae) penguin chicks, in spite of large variability in the abundance of Antarctic krill (Euphausia superba), the primary food source. The model describes the energetic requirements of the chick. with growth resulting from the difference between assimilated energy and respiration. Parameterizations of these metabolic processes are based upon experimental and field observations. Ingestion of Antarctic krill by the chick is dependent on the frequency of food delivery to the chick by the adults, which is based on measured foraging times. The mass, size, and size frequency distribution of Antarctic krill fed to the chick are specified using empirical data. The energy content of the Ant arctic krill provided to the chick is taken to be constant or allowed to vary with size. The simulations show that food availability is most critical in the latter portion of chick development, when growth rates and food demands are high. Low food availability during this time must be compensated by either feeding chicks with larger krill of higher caloric value or by increased assimilation efficiency. Periods when small krill with lower caloric value dominate require more frequent. feeding of the chicks in order to attain their observed fledging weight. Thus, although the total food energy given to the chick is the main factor determining chick growth, the distribution of food availability relative to chick size (i.e., different net growth rates) and food quality are also factors influencing the fledging weight of penguin chicks. The simulations provide insight into the compensating effects of food delivery, food quality, and metabolic processes that allow Adelie penguin chicks to reach their observed fledging weight in spite of considerable environmental variability in food supply.</t>
  </si>
  <si>
    <t>Old Dominion Univ, Dept Oceanog, Ctr Coastal Phys Oceanog, Norfolk, VA 23529 USA; Montana State Univ, Polar Oceans Res Grp, Bozeman, MT 59717 USA</t>
  </si>
  <si>
    <t>Old Dominion University; Montana State University System; Montana State University Bozeman</t>
  </si>
  <si>
    <t>Salihoglu, B (corresponding author), Old Dominion Univ, Dept Oceanog, Ctr Coastal Phys Oceanog, Norfolk, VA 23529 USA.</t>
  </si>
  <si>
    <t>Salihoglu, Baris/D-1376-2010</t>
  </si>
  <si>
    <t>Salihoglu, Baris/0000-0002-7510-7713</t>
  </si>
  <si>
    <t>10.1007/s003000000215</t>
  </si>
  <si>
    <t>WOS:000168622700005</t>
  </si>
  <si>
    <t>Pistorius, PA; Bester, MN; Kirkman, SP; Taylor, FE</t>
  </si>
  <si>
    <t>Temporal changes in fecundity and age at sexual maturity of southern elephant seals at Marion Island</t>
  </si>
  <si>
    <t>ANTARCTIC FUR SEALS; MOOSE ALCES-ALCES; POPULATION-DYNAMICS; MIROUNGA-LEONINA; WEDDELL SEALS; LEPTONYCHOTES-WEDDELLI; DECLINING POPULATION; CAPTURE-RECAPTURE; 1ST REPRODUCTION; LARGE HERBIVORES</t>
  </si>
  <si>
    <t>Our objective was to examine the effect of variation in reproductive parameters on the demography of southern elephant seals at Marion Island. We used age-specific capture probabilities of breeding females in a Cormack-Jolly-Seber context to derive reproductive rates. We found that age at maturity declined and fecundity rates increased as the population declined, indicating a compensatory response. Fecundity rates ranged from 0.03 to 0.29 among 3-year-olds (mean= 0.16), 0.18 to 0.50 in 4-year-olds (mean = 0.40), and 0.28 to 0.50 in 5-year-olds (mean=0.45). We think that a relative increase in food availability, concomitant with the population decline, promoted earlier sexual maturity correlated with more rapid growth of juveniles when population abundance was lower. It is suggested that the relative importance of fecundity in population regulation in elephant seals has been underestimated. Moreover, it appears that the onset of sexual maturity may be the first demographic variable to change in response to a change in population density.</t>
  </si>
  <si>
    <t>Univ Pretoria, Dept Zool &amp; Entomol, Mammal Res Inst, ZA-0002 Pretoria, South Africa</t>
  </si>
  <si>
    <t>Bester, MN (corresponding author), Univ Pretoria, Dept Zool &amp; Entomol, Mammal Res Inst, ZA-0002 Pretoria, South Africa.</t>
  </si>
  <si>
    <t>Bester, Marthán N/E-5387-2010; Kirkman, Stephen/AAA-9139-2021</t>
  </si>
  <si>
    <t>Kirkman, Stephen/0000-0001-5428-7375; Pistorius, Pierre/0000-0001-6561-7069</t>
  </si>
  <si>
    <t>10.1007/s003000000217</t>
  </si>
  <si>
    <t>WOS:000168622700007</t>
  </si>
  <si>
    <t>Quartino, ML; Klöser, H; Schloss, IR; Wiencke, C</t>
  </si>
  <si>
    <t>Biomass and associations of benthic marine macroalgae from the inner Potter Cove (King George Island, Antarctica) related to depth and substrate</t>
  </si>
  <si>
    <t>SUBLITTORAL MACROALGAE; SOUTH SHETLAND; ZONATION; PENINSULA; BALANCE</t>
  </si>
  <si>
    <t>The biomass of the benthic marine macroalgae from the inner Potter Cove was studied along a depth profile across different substrates during Antarctic summer. Macroalgal associations were identified by means of cluster analysis. Twenty-two species were found in the study site, approximately half of the species present in the area. This paucity may be explained by the strong preponderance of the brown algae Desmarestia anceps and D. menziesii, which are able to exclude other species by competition for light. The mean biomass of all macroalgae was 1,390 g DW/m(2) +/- 1,787 g DW/m(2). Nine macroalgal associations were identified with different preferences for depth, substrate and the degree of exposure. Overall, there was a tendency for macroalgae to grow on fine substrates with increasing depth. Species richness decreased at 20 m depth, probably due to limiting light conditions. The results are discussed with respect to previous studies in East and West Antarctica.</t>
  </si>
  <si>
    <t>Fdn Alfred Wegener Inst, D-27515 Bremerhaven, Germany; Inst Antartico Argentino, RA-1010 Buenos Aires, DF, Argentina; Museo Argentino Ciencias Nat Bernardino Rivadavia, RA-1405 Buenos Aires, DF, Argentina; CONICET, RA-1033 Buenos Aires, DF, Argentina</t>
  </si>
  <si>
    <t>Helmholtz Association; Alfred Wegener Institute, Helmholtz Centre for Polar &amp; Marine Research; Instituto Antartico Argentino; Museo Argentino de Ciencias Naturales Bernardino Rivadavia (MACN); Consejo Nacional de Investigaciones Cientificas y Tecnicas (CONICET)</t>
  </si>
  <si>
    <t>Wiencke, C (corresponding author), Fdn Alfred Wegener Inst, PB 120161, D-27515 Bremerhaven, Germany.</t>
  </si>
  <si>
    <t>Schloss, Irene R./U-5411-2018</t>
  </si>
  <si>
    <t>Schloss, Irene R./0000-0002-5917-8925</t>
  </si>
  <si>
    <t>10.1007/s003000000218</t>
  </si>
  <si>
    <t>WOS:000168622700008</t>
  </si>
  <si>
    <t>Corsolini, S; Nigro, M; Olmastroni, S; Focardi, S; Regoli, F</t>
  </si>
  <si>
    <t>Susceptibility to oxidative stress in Adelie and emperor penguin</t>
  </si>
  <si>
    <t>OXYRADICAL SCAVENGING CAPACITY; SCALLOP ADAMUSSIUM-COLBECKI; DIVING BEHAVIOR; ANTIOXIDANTS; RADICALS; MUSSEL; METALS; FLUIDS</t>
  </si>
  <si>
    <t>The antioxidant defences in aerobic organisms represent the detoxification pathway against toxicity of reactive oxygen species (ROS). These highly reactive molecules are normally produced during the 4-electrons reduction of molecular oxygen to water coupled with oxidative phosphorylation, and during the activity of several enzymatic systems which produce ROS as intermediates. However, the endogenous generation of oxyradicals may be influenced by different environmental and biological factors, and the basal efficiency of antioxidant systems generally reflects the normal prooxidant pressure to which organisms are exposed. If the antioxidant capacity is exceeded (i.e. as a consequence of enhanced intracellular formation of ROS), a pathological condition, generally termed oxidative stress, may arise. In this preliminary work, susceptibility to oxidative stress has been compared in plasma of Adi lie penguin (Pygoscelis adeliae), emperor penguin (Aptenodytes forsteri), south polar skua (Catharacta maccormicki) and snow petrel (Pagodroma nivea). Within the framework of the Italian Research Program in Antarctica, blood samples were collected during the austral summer 1998-1999 and the Total Oxyradical Scavenging Capacity (TOSC) analysed. The TOSC assay, measuring the capability of biological samples to neutralise different oxyradicals, has been recently standardised to provide a quantifiable value of biological resistance to toxicity of ROS. Penguins exhibited higher scavenging capacity towards peroxyl radicals than south polar skua and snow petrel. The greater resistance to toxicity of oxyradicals might suggest that penguins are naturally exposed to a higher basal prooxidant pressure in comparison to other analysed Antarctic birds.</t>
  </si>
  <si>
    <t>Univ Ancona, Ist Biol &amp; Genet, I-60100 Ancona, Italy; Univ Siena, Dipartimento Sci Ambientali, I-53100 Siena, Italy; Univ Pisa, Dipartimento Morfol Umana &amp; Biol Appl, Pisa, Italy</t>
  </si>
  <si>
    <t>Marche Polytechnic University; University of Siena; University of Pisa</t>
  </si>
  <si>
    <t>Regoli, F (corresponding author), Univ Ancona, Ist Biol &amp; Genet, Via Ranieri, I-60100 Ancona, Italy.</t>
  </si>
  <si>
    <t>Corsolini, Simonetta/B-9460-2012; Regoli, Francesco/K-2719-2018; OLMASTRONI, Silvia/G-6267-2018</t>
  </si>
  <si>
    <t>Corsolini, Simonetta/0000-0002-9772-2362; Regoli, Francesco/0000-0001-6084-6188; OLMASTRONI, Silvia/0000-0002-9319-9914</t>
  </si>
  <si>
    <t>WOS:000168622700010</t>
  </si>
  <si>
    <t>Chattopadhyay, MK; Jagannadham, MV</t>
  </si>
  <si>
    <t>Maintenance of membrane fluidity in Antarctic bacteria</t>
  </si>
  <si>
    <t>PSYCHROTROPHIC MICROCOCCUS-ROSEUS; MAJOR CAROTENOID PIGMENT; SPIN-LABEL; PHOTOSYNTHETIC MEMBRANES; SYNTHETIC MEMBRANES; ESCHERICHIA-COLI; LOW-TEMPERATURES; BETA-CAROTENE; FATTY-ACIDS; ADAPTATION</t>
  </si>
  <si>
    <t>Increase in the synthesis of membrane-fluidizing (such as unsaturated) fatty acids in cold-adapted bacteria is well documented. More recently, a polar carotenoid was found to rigidify synthetic membranes in an in vitro study. Enhanced biosynthesis of some fatty acids that increase membrane fluidity, and also of polar carotenoids has been evidenced in one Gram-positive and one Gram-negative psychrotrophic bacterium, isolated from Antarctic soil. A role of carotenoids in homeoviscous adaptation of membrane fluidity has been postulated.</t>
  </si>
  <si>
    <t>Ctr Cellular &amp; Mol Biol, Hyderabad 500007, Andhra Pradesh, India</t>
  </si>
  <si>
    <t>Council of Scientific &amp; Industrial Research (CSIR) - India; CSIR - Centre for Cellular &amp; Molecular Biology (CCMB)</t>
  </si>
  <si>
    <t>Chattopadhyay, MK (corresponding author), Ctr Cellular &amp; Mol Biol, Hyderabad 500007, Andhra Pradesh, India.</t>
  </si>
  <si>
    <t>Jagannadham, Medicharla V. V./AAW-6773-2021</t>
  </si>
  <si>
    <t>WOS:000168622700014</t>
  </si>
  <si>
    <t>Palinkas, LA; Reed, HL; Reedy, KR; Van Do, N; Case, HS; Finney, NS</t>
  </si>
  <si>
    <t>Circannual pattern of hypothalamic-pituitary-thyroid (HPT) function and mood during extended antarctic residence</t>
  </si>
  <si>
    <t>PSYCHONEUROENDOCRINOLOGY</t>
  </si>
  <si>
    <t>mood; cold; thyroid; circannual rhythms; thyrotropin-releasing hormone; Antarctica</t>
  </si>
  <si>
    <t>SEASONAL AFFECTIVE-DISORDER; HYPOTHYROIDISM; DEPRESSION; LIGHT; PHOTOTHERAPY; PREVALENCE; THYROXINE; SYMPTOMS; HORMONE; THERAPY</t>
  </si>
  <si>
    <t>The seasonal variation in thyroid function and mood was examined in 10 men and two women who spent the 1997 or 1998 austral winter at McMurdo Station, Antarctica. Serum samples of TSH, free T-3 and free T-4 were collected each month over a 10-month period (October-August), along with responses to the Profile of Mood States (POMS) and the Center for Epidemiologic Studies - Depression (CES-D) Scale. Both TSH and mood (a summary score created from the POMS depression, anger, fatigue and confusion subscales) exhibited a circannual pattern with peaks during the months of November and July and a trough during the months of March and April. High levels of tension-anxiety and confusion were preceded by declines in free T-3 and T-4. However, increases in tension-anxiety and total mood disturbance also preceded a decline in free T-3 levels, suggesting a feedback of mood on T-3 levels. Levels of free T-4 were independently associated with preceding increases in anger scores, These results support the hypothesis that the symptoms characteristic of the winter-over syndrome is a state of relative CNS hypothyroidism. This model of seasonal variation in thyroid function and mood also has implications for an understanding of potential mechanisms underlying the association between latitude and SAD or S-SAD. (C) 2001 Elsevier Science Ltd. All rights reserved.</t>
  </si>
  <si>
    <t>Univ Calif San Diego, Dept Family &amp; Prevent Med, La Jolla, CA 92093 USA; Madigan Army Med Ctr, Dept Med, Endocrine Serv, Tacoma, WA 98431 USA; US FDA, Rockville, MD 20857 USA; Western Maryland Coll, Dept Exercise Sci &amp; Phys Educ, Westminster, MD 21157 USA</t>
  </si>
  <si>
    <t>University of California System; University of California San Diego; Madigan Army Medical Center; US Food &amp; Drug Administration (FDA)</t>
  </si>
  <si>
    <t>Univ Calif San Diego, Dept Family &amp; Prevent Med, 9500 Gilman Dr, La Jolla, CA 92093 USA.</t>
  </si>
  <si>
    <t>lpalinkas@ucsd.edu</t>
  </si>
  <si>
    <t>0306-4530</t>
  </si>
  <si>
    <t>PSYCHONEUROENDOCRINO</t>
  </si>
  <si>
    <t>Psychoneuroendocrinology</t>
  </si>
  <si>
    <t>10.1016/S0306-4530(00)00064-0</t>
  </si>
  <si>
    <t>Endocrinology &amp; Metabolism; Neurosciences; Psychiatry</t>
  </si>
  <si>
    <t>Endocrinology &amp; Metabolism; Neurosciences &amp; Neurology; Psychiatry</t>
  </si>
  <si>
    <t>420QR</t>
  </si>
  <si>
    <t>WOS:000168016100006</t>
  </si>
  <si>
    <t>Stark, AA; Bally, J; Balm, SP; Bania, TM; Bolatto, AD; Chamberlin, RA; Engargiola, G; Huang, M; Ingalls, JG; Jacobs, K; Jackson, JM; Kooi, JW; Lane, AP; Lo, KY; Marks, RD; Martin, CL; Mumma, D; Ojha, R; Schieder, R; Staguhn, J; Stutzki, J; Walker, CK; Wilson, RW; Wright, GA; Zhang, XL; Zimmermann, P; Zimmermann, R</t>
  </si>
  <si>
    <t>The Antarctic Submillimeter Telescope and Remote Observatory (AST/RO)</t>
  </si>
  <si>
    <t>PUBLICATIONS OF THE ASTRONOMICAL SOCIETY OF THE PACIFIC</t>
  </si>
  <si>
    <t>225-GHZ ATMOSPHERIC OPACITY; MICROWAVE SKY; 90 GHZ; ANISOTROPY; CALIBRATION; RECEIVER; DESIGN; MIXERS</t>
  </si>
  <si>
    <t>The Antarctic Submillimeter Telescope and Remote Observatory, a 1.7 m diameter telescope for astronomy and aeronomy studies at wavelengths between 200 and 2000 mum, was installed at the South Pole during the 1994-1995 austral summer. The telescope operates continuously through the austral winter and is being used primarily for spectroscopic studies of neutral atomic carbon and carbon monoxide in the interstellar medium of the Milky Way and the Magellanic Clouds. The South Pole environment is unique among observatory sites for unusually low wind speeds, low absolute humidity, and the consistent clarity of the submillimeter sky. Especially significant are the exceptionally low values of sky noise found at this site, a result of the small water vapor content of the atmosphere. Four heterodyne receivers, an array receiver, three acousto-optical spectrometers, and an array spectrometer are currently installed. A Fabry-Perot spectrometer using a bolometric array and a terahertz receiver are in development. Telescope pointing, focus, and calibration methods as well as the unique working environment and logistical requirements of the South Pole are described.</t>
  </si>
  <si>
    <t>Harvard Smithsonian Ctr Astrophys, Cambridge, MA 02138 USA; Bell Labs, Holmdel, NJ 07733 USA; Univ Colorado, CASA, Boulder, CO 80309 USA; Boston Univ, Boston, MA 02215 USA; CALTECH Submillimeter Observ, Hilo, HI 96720 USA; Univ Illinois, Urbana, IL 61801 USA; Univ Calif Berkeley, Radio Astron Lab, Berkeley, CA 94720 USA; CALTECH, Pasadena, CA 91125 USA; Univ Cologne, Inst Phys 1, D-50937 Cologne, Germany; NASA, Goddard Space Flight Ctr, Greenbelt, MD 20771 USA; Univ Arizona, Steward Observ, Tucson, AZ 85721 USA; Radiometer Phys GmbH, D-53340 Meckenheim, Germany</t>
  </si>
  <si>
    <t>Smithsonian Institution; Smithsonian Astrophysical Observatory; Harvard University; AT&amp;T; University of Colorado System; University of Colorado Boulder; Boston University; California Institute of Technology; University of Illinois System; University of Illinois Urbana-Champaign; University of California System; University of California Berkeley; California Institute of Technology; University of Cologne; National Aeronautics &amp; Space Administration (NASA); NASA Goddard Space Flight Center; University of Arizona</t>
  </si>
  <si>
    <t>Harvard Smithsonian Ctr Astrophys, 60 Garden St, Cambridge, MA 02138 USA.</t>
  </si>
  <si>
    <t>aas@cfa.harvard.edu; greg@astron.berkeley.edu; adair@cfa.harvard.edu; cmartin@cfa.harvard.edu; staguhn@stars.gsfc.nasa.gov; zhang@stars.gsfc.nasa.gov</t>
  </si>
  <si>
    <t>Bania, Thomas M/H-2318-2014; Ingalls, James/AAK-6875-2021</t>
  </si>
  <si>
    <t>Ingalls, James/0000-0003-4714-1364; Martin, Christopher/0000-0002-8078-8859; Wilson, Robert/0000-0001-5694-6725; Stark, Antony/0000-0002-2718-9996; Bolatto, Alberto/0000-0002-5480-5686</t>
  </si>
  <si>
    <t>0004-6280</t>
  </si>
  <si>
    <t>1538-3873</t>
  </si>
  <si>
    <t>PUBL ASTRON SOC PAC</t>
  </si>
  <si>
    <t>Publ. Astron. Soc. Pac.</t>
  </si>
  <si>
    <t>10.1086/320281</t>
  </si>
  <si>
    <t>427QF</t>
  </si>
  <si>
    <t>WOS:000168416400007</t>
  </si>
  <si>
    <t>Swadling, KM; Dartnall, HJG; Gibson, JAE; Saulnier-Talbot, E; Vincent, WF</t>
  </si>
  <si>
    <t>Fossil rotifers and the early colonization of an Antarctic lake</t>
  </si>
  <si>
    <t>fossil; rotifers; Notholca; Holocene; Antarctic biogeography; lakes; paleoecology; colonization</t>
  </si>
  <si>
    <t>VESTFOLD HILLS; COPEPODA; HISTORY; LIFE</t>
  </si>
  <si>
    <t>Early Holocene sediments from a continental Antarctic lake (Ace Lake, Vestfold Hills, East Antarctica) contained abundant fossil rotifers of the genus Notholca, The fossil is similar to specimens of Notholca sp, present in modern-day Ace Lake and other fresh and brackish lakes of the Vestfold Hills. Cyanobacteria and protists (chrysophyte cysts, dinoflagellate cysts, and rhizopod tests) were also recovered from the core samples. These sediments were deposited early in the freshwater phase of Ace Lake, soon after deglaciation of the area, The occurrence of this trophically diverse assemblage of organisms at an early stage in the evolution of the lake suggests either that they were part of an endemic Antarctic flora and fauna which pre-dated the last glacial maximum and survived in glacial refugia or that efficient intercontinental dispersal had occurred. (C) 2001 University of Washington.</t>
  </si>
  <si>
    <t>Univ Laval, Ctr Etud Nord, Ste Foy, PQ G1K 7P4, Canada; Macquarie Univ, Dept Biol Sci, N Ryde, NSW 2109, Australia; Australian Antarctic Div, Kingston, Tas 7050, Australia</t>
  </si>
  <si>
    <t>Laval University; Macquarie University; Australian Antarctic Division</t>
  </si>
  <si>
    <t>Univ Tasmania, Sch Zool, GPO Box 252-5, Hobart, Tas 7001, Australia.</t>
  </si>
  <si>
    <t>Vincent, Warwick/AAH-6152-2019; Vincent, Warwick F/C-9522-2009</t>
  </si>
  <si>
    <t>Vincent, Warwick/0000-0001-9055-1938; Swadling, Kerrie/0000-0002-7620-841X</t>
  </si>
  <si>
    <t>10.1006/qres.2001.2222</t>
  </si>
  <si>
    <t>436VR</t>
  </si>
  <si>
    <t>WOS:000168957000013</t>
  </si>
  <si>
    <t>Staehelin, J; Harris, NRP; Appenzeller, C; Eberhard, J</t>
  </si>
  <si>
    <t>Ozone trends: A review</t>
  </si>
  <si>
    <t>3-DIMENSIONAL MODEL SIMULATIONS; HALOGEN OCCULTATION EXPERIMENT; QUASI-BIENNIAL OSCILLATION; NINO-SOUTHERN-OSCILLATION; EUROPEAN AIR MASSES; SOLAR PROTON EVENTS; ARCTIC POLAR VORTEX; LONG-TERM CHANGES; STRATOSPHERIC OZONE; ATMOSPHERIC OZONE</t>
  </si>
  <si>
    <t>Ozone plays a very important role in our atmosphere because it protects any living organisms at the Earth's surface against the harmful solar UVB and UVC radiation. In the stratosphere, ozone plays a critical role in the energy budget because it absorbs both solar UV and terrestrial IR radiation. Further, ozone in the tropopause acts as a strong greenhouse gas, and increasing ozone trends at these altitudes contribute to climate change. This review contains a short description of the various techniques that provided atmospheric ozone measurements valuable for long-term trend analysis. The anthropogenic emissions of substances that deplete ozone (chlorine- and bromine-containing volatile gases) have increased from the 1950s until the second half of the 1980s. The most severe consequence of the anthropogenic release of ozone-depleting substances is the Antarctic ozone hole. Long-term observations indicate that stratospheric ozone depletion in the southern winter-spring season over Antarctica started in the late 1970s, leading to a strong decrease in October total ozone means. Present values are only approximately half of those observed prior to 1970. In the Arctic, large ozone depletion was observed in winter and spring in some recent years. Satellite and ground-based measurements show no significant trends in the tropics but significant long-term decreasing trends in the northern and southern midlatitudes (of the order of 2-4% per decade in the period from 1970 to 1996 and an acceleration in trends in the 1980s). Ozone at northern midlatitudes decreased by -7.4 +/- 2% per decade at 40 km above mean sea level, while ozone loss was small at 30 km. Large trends were found in the lower stratosphere, -5.1 +/- 1.8% at 20 km and -7.3 +/- 4.6% at 15 km, where the bulk of the ozone resides. The possibility of a reduction in the observed trends has been discussed recently, but it is very hard to distinguish this from the natural variability. As a consequence of the Montreal Protocol process, the emissions of ozone-depleting substances have decreased since the late 1980s. Chlorine is no longer increasing in the stratosphere, although the total bromine amount is still increasing. Considering anthropogenic emissions of substances that deplete ozone, the turnaround in stratospheric ozone trends is expected to take place in the coming years. However, anthropogenic climate change could have a large influence on the future evolution of the Earth's ozone shield.</t>
  </si>
  <si>
    <t>ETH Honggerberg, Swiss Fed Inst Technol, Inst Atmospher Sci, CH-8093 Zurich, Switzerland; European Ozone Res Coordinating Unit, Cambridge CB2 1HE, England; MeteoSwiss, CH-8044 Zurich, Switzerland</t>
  </si>
  <si>
    <t>Swiss Federal Institutes of Technology Domain; ETH Zurich; University of Cambridge</t>
  </si>
  <si>
    <t>ETH Honggerberg, Swiss Fed Inst Technol, Inst Atmospher Sci, CH-8093 Zurich, Switzerland.</t>
  </si>
  <si>
    <t>staehelin@atmos.umnw.ethz.ch</t>
  </si>
  <si>
    <t>Appenzeller, Christof/B-3015-2013; Appenzeller, Christof/AAA-8989-2022</t>
  </si>
  <si>
    <t>Appenzeller, Christof/0000-0002-9939-9845; Appenzeller, Christof/0000-0002-9939-9845; Harris, Neil/0000-0003-1256-3006</t>
  </si>
  <si>
    <t>10.1029/1999RG000059</t>
  </si>
  <si>
    <t>429RA</t>
  </si>
  <si>
    <t>WOS:000168529700004</t>
  </si>
  <si>
    <t>Zdanowski, MK; Weglenski, P</t>
  </si>
  <si>
    <t>Ecophysiology of soil bacteria in the vicinity of Henryk Arctowski Station, King George Island, Antarctica</t>
  </si>
  <si>
    <t>SOIL BIOLOGY &amp; BIOCHEMISTRY</t>
  </si>
  <si>
    <t>soil bacteria; ecophysiology; environmental factors; Antarctica</t>
  </si>
  <si>
    <t>ADELIE PENGUIN ROOKERIES; ORNITHOGENIC SOILS; POPULATIONS; BIOMASS; NUMBERS</t>
  </si>
  <si>
    <t>Microbial abundance and diversity in soil samples from a ca. 0.2 km(2) area in Admiralty Bay, King George Island, were analysed by epifluorescence microscopy and plate counts. Total bacterial counts (TC) varied little compared to the elemental content of the organic matter (c.f.(TC) 51% vs. c.v.(C,N,S) 131, 171 and 204%, respectively). The number of copiotrophic colony forming bacteria (CFU) fluctuated widely (CVCFU 171%). These factors together with the highly variable time course of colony formation by bacterial populations from each sampling site, indicate the high diversity and mosaic character of the microbial communities in the area. Morphological, physiological and enzymatic features of 48 bacterial strains isolated on nutrient agar were determined through API 20NE and API ZYM systems and by classical tests. These tests confirmed the high physiological diversity within the CFU populations. Only 14 of the 48 isolates tested by API 20NE system were identifiable in the API database. (C) 2001 Elsevier Science Ltd. All rights reserved.</t>
  </si>
  <si>
    <t>Polish Acad Sci, Dept Antarctic Biol, PL-02141 Warsaw, Poland; Warsaw Univ, Dept Genet, PL-02106 Warsaw, Poland</t>
  </si>
  <si>
    <t>Polish Academy of Sciences; University of Warsaw</t>
  </si>
  <si>
    <t>m.zdanowski@dab.waw.pl</t>
  </si>
  <si>
    <t>Weglenski, Piotr/0000-0002-7779-1475</t>
  </si>
  <si>
    <t>0038-0717</t>
  </si>
  <si>
    <t>1879-3428</t>
  </si>
  <si>
    <t>SOIL BIOL BIOCHEM</t>
  </si>
  <si>
    <t>Soil Biol. Biochem.</t>
  </si>
  <si>
    <t>10.1016/S0038-0717(00)00230-3</t>
  </si>
  <si>
    <t>Soil Science</t>
  </si>
  <si>
    <t>Agriculture</t>
  </si>
  <si>
    <t>431KZ</t>
  </si>
  <si>
    <t>WOS:000168631500013</t>
  </si>
  <si>
    <t>De Verdière, AC; Blanc, ML</t>
  </si>
  <si>
    <t>Thermal resonance of the atmosphere to SST anomalies.: Implications for the Antarctic circumpolar wave</t>
  </si>
  <si>
    <t>TELLUS SERIES A-DYNAMIC METEOROLOGY AND OCEANOGRAPHY</t>
  </si>
  <si>
    <t>SEA-SURFACE TEMPERATURE; NORTH-ATLANTIC; INTERDECADAL VARIABILITY; SOUTHERN-OCEAN; ROSSBY WAVES; CIRCULATION; MODELS; DEPENDENCE; FEEDBACK; PACIFIC</t>
  </si>
  <si>
    <t>It is well-known that when Rossby waves are stationary in the belt of mid-latitude westerlies, resonance conditions occur allowing the atmospheric response to external perturbations to be greatly enhanced. The concept lies at the heart of the interaction of planetary flows with topographic mountain chains. In contrast, early studies of the atmospheric response to thermal forcing, focussed on the off resonance response. Now available, many GCM studies dealing with the atmospheric response to prescribed SST have revealed a great variety of responses, the difficulty of extracting the signal at planetary scale being compounded by the overwhelming activity of transient eddies at the synoptic scale. Given the long lasting influence of large scale SST anomalies, climate predictability may be expected to improve if one can identify feedbacks between the large scale climate anomalies and the SST distribution. We propose a simple theory that explores the physics of this atmospheric response to SST and may suggest ways to analyze data from the more complex GCM. We neglect all interactions between the transient eddies and the large scale waves that would go beyond Fickian mixing laws although there is evidence that the transient eddies by themselves take part in the maintenance of the low frequency variability. Because the observed perturbations are small, a linear theory is appropriate. using a 2-level model of the atmosphere, a resonance condition occurs when the Rossby waves are stationary against the vertically averaged mean zonal flow. The resonance is sharp when eddy dissipation through surface Friction is small. In a small wavenumber window controlled by the vertical structure of the mean flow, the response is equivalent barotropic and baroclinic elsewhere. Only in this window is the familiar response of high SLP downstream of warm SST recovered. For certain combination of thermal damping and surface drag, the atmospheric response is amplified to produce a positive feedback on the SST. When the atmospheric model is coupled to a one acid a half level ocean model with a zonally periodic geometry appropriate to the Southern Oceans, a linear instability appears. The application of this process of thermal resonance to the Antarctic circumpolar wave is discussed. We find that under realistic values of the mean state, an unstable coupled wave emerges in a narrow wavenumber window which coincides with the near resonance conditions found previously in the atmospheric model. This instability provides a powerful scale selective mechanism for the perturbations. The thermal forcing is primarily responsible for amplification of the SST while the powerful Antarctic circumpolar current is primarily responsible for advecting the anomalies around the globe and setting the period.</t>
  </si>
  <si>
    <t>Univ Bretagne Occidentale, Lab Phys Oceans, Brest, France</t>
  </si>
  <si>
    <t>Universite de Bretagne Occidentale; Centre National de la Recherche Scientifique (CNRS); Ifremer; Institut de Recherche pour le Developpement (IRD)</t>
  </si>
  <si>
    <t>acolindv@univ-brest.fr</t>
  </si>
  <si>
    <t>1600-0870</t>
  </si>
  <si>
    <t>TELLUS A</t>
  </si>
  <si>
    <t>Tellus Ser. A-Dyn. Meteorol. Oceanol.</t>
  </si>
  <si>
    <t>10.3402/tellusa.v53i3.12197</t>
  </si>
  <si>
    <t>451PN</t>
  </si>
  <si>
    <t>WOS:000169810600008</t>
  </si>
  <si>
    <t>Lambeck, K; Chappell, J</t>
  </si>
  <si>
    <t>Sea level change through the last glacial cycle</t>
  </si>
  <si>
    <t>ANTARCTIC ICE-SHEET; PAPUA-NEW-GUINEA; MUNGO 3 SKELETON; LATE PLEISTOCENE; HUON PENINSULA; MANTLE VISCOSITY; BRITISH-ISLES; MASS-SPECTROMETRY; MELTING HISTORY; YOUNGER DRYAS</t>
  </si>
  <si>
    <t>Sea level change during the Quaternary is primarily a consequence of the cyclic growth and decay of ice sheets, resulting in a complex spatial and temporal pattern. Observations of this variability provide constraints on the timing, rates, and magnitudes of the changes in ice mass during a glacial cycle, as well as more limited information on the distribution of ice between the major ice sheets at any time. Observations of glacially induced sea level changes also provide information on the response of the mantle to surface loading on time scales of 10(3) to 10(5) years. Regional analyses indicate that the earth-response function is depth dependent as well as spatially variable. Comprehensive models of sea level change enable the migration of coastlines to be predicted during glacial cycles, including the anthropologically important period from about 60,000 to 20,000 years ago.</t>
  </si>
  <si>
    <t>Australian Natl Univ, Res Sch Earth Sci, Camden, NSW 0200, Australia; Lund Univ, S-22100 Lund, Sweden</t>
  </si>
  <si>
    <t>Australian National University; Lund University</t>
  </si>
  <si>
    <t>Lambeck, K (corresponding author), Australian Natl Univ, Res Sch Earth Sci, Camden, NSW 0200, Australia.</t>
  </si>
  <si>
    <t>APR 27</t>
  </si>
  <si>
    <t>10.1126/science.1059549</t>
  </si>
  <si>
    <t>428TX</t>
  </si>
  <si>
    <t>WOS:000168478300040</t>
  </si>
  <si>
    <t>Zachos, J; Pagani, M; Sloan, L; Thomas, E; Billups, K</t>
  </si>
  <si>
    <t>Trends, rhythms, and aberrations in global climate 65 Ma to present</t>
  </si>
  <si>
    <t>PALEOCENE THERMAL MAXIMUM; ANTARCTIC ICE-SHEET; ATMOSPHERIC CARBON-DIOXIDE; STABLE-ISOTOPE; SOUTHERN-OCEAN; SEDIMENTOLOGICAL EVIDENCE; ASTRONOMICAL CALIBRATION; MASSIVE DISSOCIATION; EOCENE TRANSITION; MIOCENE OXYGEN</t>
  </si>
  <si>
    <t>Since 65 million years ago (Ma), Earth's climate has undergone a significant and complex evolution, the finer details of which are now coming to light through investigations of deep-sea sediment cores. This evolution includes gradual trends of warming and cooling driven by tectonic processes on time scales of 10(5) to 10(7) years, rhythmic or periodic cycles driven by orbital processes with 10(4)- to 10(6)-year cyclicity, and rare rapid aberrant shifts and extreme climate transients with durations of 10(3) to 10(5) years. Here, recent progress in defining the evolution of global climate over the Cenozoic Era is reviewed. We focus primarily on the periodic and anomalous components of variability over the early portion of this era, as constrained by the latest generation of deep-sea isotope records. We also consider how this improved perspective has led to the recognition of previously unforeseen mechanisms for altering climate.</t>
  </si>
  <si>
    <t>Univ Calif Santa Cruz, Dept Earth Sci, Santa Cruz, CA 95064 USA; Wesleyan Univ, Dept Earth &amp; Environm Sci, Middletown, CT 06459 USA; Yale Univ, Ctr Study Global Change, New Haven, CT 06520 USA; Univ Delaware, Coll Marine Studies, Lewes, DE 19958 USA</t>
  </si>
  <si>
    <t>University of California System; University of California Santa Cruz; Wesleyan University; Yale University; University of Delaware</t>
  </si>
  <si>
    <t>Univ Calif Santa Cruz, Dept Earth Sci, Santa Cruz, CA 95064 USA.</t>
  </si>
  <si>
    <t>jzachos@es.ucsc.edu</t>
  </si>
  <si>
    <t>Pagani, Mark/B-3233-2008; Thomas, Ellen/JVO-1734-2024; Zachos, James/A-7674-2008</t>
  </si>
  <si>
    <t>Thomas, Ellen/0000-0002-7141-9904; Zachos, James/0000-0001-8439-1886</t>
  </si>
  <si>
    <t>10.1126/science.1059412</t>
  </si>
  <si>
    <t>WOS:000168478300041</t>
  </si>
  <si>
    <t>Bozzelli, JW; Jung, DW</t>
  </si>
  <si>
    <t>Theoretical investigation on stability of the C•H2OCl radical</t>
  </si>
  <si>
    <t>DENSITY-FUNCTIONAL THEORY; SET MODEL CHEMISTRY; R = H; AB-INITIO; CH3OCL; ENTHALPIES; CH2OH; HEAT; CL; THERMOCHEMISTRY</t>
  </si>
  <si>
    <t>The reaction of ClO with CH3OO forms CH3OCl3, which is thought to be an important species in ozone destruction over the Artic and Antarctic polar regions. Principal processes for CH3OCl loss include abstraction of an H atom by OH or Cl, where the C .H2OCl radical is formed. This radical can dissociate to Cl + CH2O products via beta scission (elimination) of a Cl atom with formation of a strong carbonyl pi bond; or if stable, C .H2OCl will react with O-2 to form a peroxy radical. Structures and the thermochemical properties (enthalpy, DeltaH(f298)degrees entropy S(298), and heat capacity) of the C .H2OCl radical, a transition state for its dissociation to CH2O + Cl (TSCH2O-Cl) and a formaldehyde-Cl atom adduct (ACH(2)O similar to Cl), are estimated by ah initio and density functional calculations. Geometries are optimized and frequencies are estimated using MP2/6-31G(d,p), B3LYP/6-31G(d,p), or MP2/6-31G(d) level calculations. Single point calculations for estimation of energy are performed with B3LYP/6-311 +G(3df,2p) and QC1SDT/6-31G(d,p) and with composite methods of CBS-Q and G3/MP2. Density functional calculations do not predict the existence of a stable C .H2OCl radical; only a lower energy, loosely bound adduct and final products CH2O + Cl. HF and MP2 calculations optimize to a C .H2OCl radical structure with an O-Cl bond (MP2) of 1.72 Angstrom. DeltaH(f298)degrees values on this MP2 structure are calculated using four different working (isodesmic) reactions. Standard enthalpy based on CBS-Q//MP2/6-31G(d,p) energies with isodesmic reaction analysis on this MP2 structure results in DeltaH(f298)degrees of 32.39 +/- 2.21 kcal/mol; this is in excellent agreement with the high level calculations of Espinosa-Garcia (32.0 +/- 3.5). MP2 calculations also predict an early transition state for C .H2OCl dissociation with an O-Cl bond of 1.78 Angstrom. Analysis of the MP2/6-31G transition state structure, using either CBS-Q or G3/MP2, yields an enthalpy some 4.4 kcal/mol lower than the stable radical; i.e., no barrier to C .H2OCl dissociation is found. Products CH2O + Cl and a loosely bound adduct of ACH(2)O similar to Cl have much lower energies at -1.86 +/- 2.21 and 0.26 +/- 2.21 kcal/mol, respectively. We conclude from analysis of the enthalpy values of the three structures (adduct, TST, and products) that the HF- or MP2-optimized C .H2OCl structure does not exist as a stable radical and that density functional calculations provide more realistic insight into the chemistry of this species. Abstraction of H atoms from CH3OCl by active radicals such as OH, Cl, O, H,..., etc., result in formation of CH2O plus a Cl atom.</t>
  </si>
  <si>
    <t>New Jersey Inst Technol, Dept Chem Chem Engn &amp; Environm Sci, Newark, NJ 07102 USA</t>
  </si>
  <si>
    <t>New Jersey Institute of Technology</t>
  </si>
  <si>
    <t>Bozzelli, JW (corresponding author), New Jersey Inst Technol, Dept Chem Chem Engn &amp; Environm Sci, Newark, NJ 07102 USA.</t>
  </si>
  <si>
    <t>APR 26</t>
  </si>
  <si>
    <t>10.1021/jp003401+</t>
  </si>
  <si>
    <t>428BR</t>
  </si>
  <si>
    <t>WOS:000168441700001</t>
  </si>
  <si>
    <t>Peck, SB</t>
  </si>
  <si>
    <t>Review of the carrion beetles of Australia and New Guinea (Coleoptera: Silphidae)</t>
  </si>
  <si>
    <t>AUSTRALIAN JOURNAL OF ENTOMOLOGY</t>
  </si>
  <si>
    <t>biogeography; bionomics; phylogeny; taxonomy</t>
  </si>
  <si>
    <t>NICROPHORUS</t>
  </si>
  <si>
    <t>Keys, distribution maps and bionomic summaries are given for the five described species of large carrion beetles (Silphidae) known from Australia and the island of New Guinea. The genera Nicrophorus Fabricius and Diamesus Hope entered Australasia from the north. The Australasian genus Ptomaphila Kirby and Spence has three species and these show a southern or trans-Antarctic sister-group relationship to Oxelytrum Gistel of the Neotropical Region. The Australian species are mostly distributed in forest or scrub habitat within 300 km from the coastline. A phylogeny of Ptomaphila indicates that P. ovata Portevin of New Guinea is most plesiotypic, that P. perlata Kraatz of eastern Australia is intermediate, and that P. lacrymosa (Schreibers) of southern Australia is most apotypic.</t>
  </si>
  <si>
    <t>Carleton Univ, Dept Biol, Ottawa, ON K1S 5B6, Canada</t>
  </si>
  <si>
    <t>Carleton University</t>
  </si>
  <si>
    <t>Peck, SB (corresponding author), Carleton Univ, Dept Biol, 1125 Colonel By Dr, Ottawa, ON K1S 5B6, Canada.</t>
  </si>
  <si>
    <t>1326-6756</t>
  </si>
  <si>
    <t>AUST J ENTOMOL</t>
  </si>
  <si>
    <t>Aust. J. Entomol.</t>
  </si>
  <si>
    <t>APR 20</t>
  </si>
  <si>
    <t>10.1046/j.1440-6055.2001.00216.x</t>
  </si>
  <si>
    <t>450RC</t>
  </si>
  <si>
    <t>WOS:000169756000001</t>
  </si>
  <si>
    <t>Duilio, A; Tutino, ML; Matafora, V; Sannia, G; Marino, G</t>
  </si>
  <si>
    <t>Molecular characterization of a recombinant replication protein (Rep) from the Antarctic bacterium Psychrobacter sp TA144</t>
  </si>
  <si>
    <t>rep protein; psychrophile; plasmid; rolling circle; refolding</t>
  </si>
  <si>
    <t>ROLLING-CIRCLE REPLICATION; INITIATOR PROTEIN; PT181 FAMILY; PLASMID COPY; SEQUENCE; SPECIFICITY; ORIGIN; TOPOISOMERASE; RECOGNITION</t>
  </si>
  <si>
    <t>The Antarctic Gram-negative bacterium Psychrobacter sp. TA144 contains two small cryptic plasmids, called pTAUp and pTADw. pTAUp encodes a replication enzyme (PsyRep) whose activity is responsible for plasmid replication via the rolling circle replication pathway. Several attempts to produce the wild-type biologically active PsyRep in Escherichia coli failed, possibly due to auto-regulation of the protein population. However, the serendipitous occurrence of a Frameshift mutation during the preparation of an expression vector resulted in the over-production of a recombinant protein, changed in its last 14 amino acid residues (PsyRep*), that precipitates in insoluble form. The purification of PsyRep* inclusion bodies and the successful refolding of the cold adapted enzyme allowed us to carry out its functional characterization. The mutated protein still displays a double stranded DNA nicking activity, while the change at the C-terminus impairs the enzyme specificity for the pTAUp cognate Ori(+) sequence. (C) 2001 Federation of European Microbiological Societies. Published by Elsevier Science B.V. All rights reserved.</t>
  </si>
  <si>
    <t>Univ Naples Federico II, Dipartimento Chim Organ &amp; Biochim, I-80100 Naples, Italy</t>
  </si>
  <si>
    <t>Marino, G (corresponding author), Univ Naples Federico II, Dipartimento Chim Organ &amp; Biochim, Complesso Univ Monte S Angelo,Via Cinthia, I-80100 Naples, Italy.</t>
  </si>
  <si>
    <t>Matafora, Vittoria/JVO-4441-2024; TUTINO, MARIA LUISA/L-1834-2013</t>
  </si>
  <si>
    <t>Matafora, Vittoria/0000-0002-4311-998X; Tutino, Maria Luisa/0000-0002-4978-6839; DUILIO, Angela/0000-0002-6833-1303; SANNIA, Giovanni/0000-0002-7986-6223</t>
  </si>
  <si>
    <t>1574-6968</t>
  </si>
  <si>
    <t>10.1111/j.1574-6968.2001.tb10618.x</t>
  </si>
  <si>
    <t>429KG</t>
  </si>
  <si>
    <t>WOS:000168515500009</t>
  </si>
  <si>
    <t>Sabri, A; Baré, G; Jacques, P; Jabrane, A; Ongena, M; Van Heugen, JC; Devreese, B; Thonart, P</t>
  </si>
  <si>
    <t>Influence of moderate temperatures on myristoyl-CoA metabolism and acyl-CoA thioesterase activity in the psychrophilic antarctic yeast Rhodotorula aurantiaca</t>
  </si>
  <si>
    <t>FATTY-ACID-SYNTHETASE; PROTEIN N-MYRISTOYLTRANSFERASE; COENZYME-A CARBOXYLASE; SACCHAROMYCES-CEREVISIAE; RAT-LIVER; COLD ADAPTATION; BINDING-PROTEIN; PURIFICATION; HYDROLASE; ESTERS</t>
  </si>
  <si>
    <t>The inability of psychrophilic microorganisms to grow at moderate temperatures (&gt;20 degreesC) presently represents an unresolved thermodynamic paradox. Here we report for the psychrophilic yeast Rhodotorula aurantiaca A19, isolated from Antarctic ice, that the inability to grow at temperatures close to 20 degreesC is associated with profound alterations in cell morphology and integrity. High performance liquid chromatography analysis of the intracellular acyl-CoA esters revealed an abnormal accumulation of myristoyl-CoA (C14-CoA) in cells cultivated close to the nonpermissive temperature. Its concentration (500 muM) was found to be 28-fold higher than in cells cultivated at 0 degreesC, If one considers its ability to disrupt membrane bilayers and to inhibit many cellular enzymes and functions, intracellular myristoyl-CoA accumulation in the psychrophile R, aurantiaca represents one of the principal causes of growth arrest at moderate temperatures. Intracellular acyl-CoA concentrations are believed to be regulated by thioesterase activity. Thus in an attempt to explore the mechanism by which temperature disrupts myristoyl-CoA metabolism, we isolated and characterized a long chain acyl-CoA thioesterase, The monomeric 80-kDa thioesterase from the psychrophilic yeast shows a very strong specificity for myristoyl-CoA The affinity for substrate and the catalytic efficiency of the thioesterase are optimal below 5 degreesC (temperatures habitually experienced by the strain) and dramatically decrease with increasing temperature. The loss of affinity for substrate is related to the intracellular increase of myristoyl-CoA concentration. Our observations reveal one of the probable mechanisms by which temperature fixes the limit of growth for this psychrophilic yeast.</t>
  </si>
  <si>
    <t>Univ Liege, Ctr Wallon Biol Ind B40, B-4000 Liege, Belgium; Univ Liege, CHU Sart Tilman, Lab Chim Med B35, B-4000 Liege, Belgium; Lab Eiwitbiochem Eiwitengn, B-9000 Ghent, Belgium</t>
  </si>
  <si>
    <t>University of Liege; University of Liege</t>
  </si>
  <si>
    <t>Sabri, A (corresponding author), Univ Liege, Ctr Wallon Biol Ind B40, B40,Sart Tilman, B-4000 Liege, Belgium.</t>
  </si>
  <si>
    <t>Devreese, Bart/K-2841-2019; Devreese, Bart/B-2011-2009</t>
  </si>
  <si>
    <t>Devreese, Bart/0000-0002-9764-2581; Devreese, Bart/0000-0002-9764-2581</t>
  </si>
  <si>
    <t>9650 ROCKVILLE PIKE, BETHESDA, MD 20814 USA</t>
  </si>
  <si>
    <t>10.1074/jbc.M100155200</t>
  </si>
  <si>
    <t>423VN</t>
  </si>
  <si>
    <t>WOS:000168198600031</t>
  </si>
  <si>
    <t>Loerting, T; Liedl, KR</t>
  </si>
  <si>
    <t>The reaction rate constant of chlorine nitrate hydrolysis</t>
  </si>
  <si>
    <t>CHEMISTRY-A EUROPEAN JOURNAL</t>
  </si>
  <si>
    <t>ab initio calculations; hydrolysis; hydrogen transfer; kinetics; ozone depletion</t>
  </si>
  <si>
    <t>STRATOSPHERIC OZONE DEPLETION; TRANSITION-STATE-THEORY; NITRIC-ACID TRIHYDRATE; PROTON-TRANSFER; HYDROGEN-CHLORIDE; WATER-ICE; ANTARCTIC OZONE; SMALL-CURVATURE; DYNAMICS; CLONO2</t>
  </si>
  <si>
    <t>The first-order rate constant for the decomposition of chlorine nitrate (ClONO2) by water in a cyclic 1:3 complex at stratospheric temperatures is shown to De close to the values for the hydrolysis rate coefficient of chlorine nitrate on an ice surface determined in the laboratory On the other hand the rate constants calculated for the cyclic 1:1 and 1:2 complexes are much lower than the experimental results From the mechanistic paint of view the reaction is found to be similar to a S(N)2 mechanism and coupled with water-mediated proton transfer in accordance with the intriguing findings of Bianco and Hynes [R, Bianco, J. T. Hynes, J. Phys. Chem, A 1998, 102, 309-314]. The function of additional water molecules is to act as a catalyst, that is, to accelerate the hydrolysis process. Quantum-mechanical tunneling is negligible above 125 K in the 1:3 complex and above 175 K in the 1:7 complex, At temperatures below these limits all involved protons tunnel through the barrier at energies at least, 5 kcal mol(-1) below the barrier-top in a concerted, but asynchronous manner.</t>
  </si>
  <si>
    <t>Univ Innsbruck, Inst Gen Inorgan &amp; Theoret Chem, A-6020 Innsbruck, Austria</t>
  </si>
  <si>
    <t>Univ Innsbruck, Inst Gen Inorgan &amp; Theoret Chem, Innrain 52A, A-6020 Innsbruck, Austria.</t>
  </si>
  <si>
    <t>klaus.liedl@uibk.ac.at</t>
  </si>
  <si>
    <t>Liedl, Klaus/ABB-4725-2021; Loerting, Thomas/G-5274-2018</t>
  </si>
  <si>
    <t>Liedl, Klaus/0000-0002-0985-2299; Loerting, Thomas/0000-0001-6694-3843</t>
  </si>
  <si>
    <t>WILEY-V C H VERLAG GMBH</t>
  </si>
  <si>
    <t>WEINHEIM</t>
  </si>
  <si>
    <t>POSTFACH 101161, 69451 WEINHEIM, GERMANY</t>
  </si>
  <si>
    <t>0947-6539</t>
  </si>
  <si>
    <t>1521-3765</t>
  </si>
  <si>
    <t>CHEM-EUR J</t>
  </si>
  <si>
    <t>Chem.-Eur. J.</t>
  </si>
  <si>
    <t>APR 17</t>
  </si>
  <si>
    <t>10.1002/1521-3765(20010417)7:8&lt;1662::AID-CHEM16620&gt;3.0.CO;2-P</t>
  </si>
  <si>
    <t>426VF</t>
  </si>
  <si>
    <t>WOS:000168368500012</t>
  </si>
  <si>
    <t>Turner, J; Lachlan-Cope, TA; Marshall, GJ; Pendlebury, S; Adams, N</t>
  </si>
  <si>
    <t>An extreme wind event at Casey Station, Antarctica</t>
  </si>
  <si>
    <t>SEVERE DOWNSLOPE WINDS; KATABATIC WINDS; UPSTREAM BLOCKING; EAST ANTARCTICA; AIR-FLOW</t>
  </si>
  <si>
    <t>Model output, satellite data, and in situ observations are used to investigate the conditions that gave rise to an extreme wind event at the Australian Casey Station (66.27 degrees S, 110.53 degrees E) on the coast of East Antarctica. The event took place over the period March 20-22, 1992, and resulted in Casey Station's highest ever wind gust for March (66.9 m s(-1), 130 knots) and 10 m mean winds of near 50 m s(-1). The event occurred when a deep low was located just north of the coast and there was high surface pressure inland. The rapid deepening of the low took place within a strong baroclinic zone lying north-south between a cold trough and a ridge bringing very warm air southward. A conceptual model is proposed for the very strong winds experienced at Casey Station. Key elements of the model are (1) a synoptic-scale high-low pressure couplet, providing a strengthening pressure gradient; (2) entrainment of radiatively cooled air by the supercritical synoptic gradient, leading to downslope flow; (3) the acceleration of the wind down the lee slope of Law Dome, occurring primarily in response to a topographically induced, long-period, vertically propagating gravity wave; and (4) sources of negative buoyancy, including prestorm radiatively cooled air and, later in the storm, maritime air cooled by heat flux to the ice surface. The topographically induced gravity wave increases the horizontal temperature difference, thus increasing the negative buoyancy of the surface airflow.</t>
  </si>
  <si>
    <t>British Antarctic Survey, NERC, Cambridge CB3 0ET, England; Bur Meteorol, Hobart, Tas, Australia; Antarctic Cooperat Res Ctr, Hobart, Tas, Australia</t>
  </si>
  <si>
    <t>UK Research &amp; Innovation (UKRI); Natural Environment Research Council (NERC); NERC British Antarctic Survey; Bureau of Meteorology - Australia</t>
  </si>
  <si>
    <t>J.Turner@bas.ac.uk</t>
  </si>
  <si>
    <t>APR 16</t>
  </si>
  <si>
    <t>D7</t>
  </si>
  <si>
    <t>10.1029/2000JD900544</t>
  </si>
  <si>
    <t>423QZ</t>
  </si>
  <si>
    <t>WOS:000168189400010</t>
  </si>
  <si>
    <t>Lacan, F; Jeandel, C</t>
  </si>
  <si>
    <t>Tracing Papua New Guinea imprint on the central Equatorial Pacific Ocean using neodymium isotopic compositions and Rare Earth Element patterns</t>
  </si>
  <si>
    <t>neodymium; isotopic composition; rare earths; sea water; geochemical indicators; Papua New Guinea</t>
  </si>
  <si>
    <t>EASTERN INDIAN-OCEAN; ATLANTIC-OCEAN; NORTH PACIFIC; ND; SEAWATER; WATER; SEA; UNDERCURRENT; PRODUCTIVITY; SYSTEMATICS</t>
  </si>
  <si>
    <t>The Nd isotopic composition (IC) and Rare Earth patterns of hydrodynamic structures of the Equatorial Pacific Ocean were characterized along 140 degreesW. The Nd IC of Antarctic Intermediate Water (AAIW) and of the lower layer of the Equatorial Undercurrent (EUC) at 140 degreesW (13 degreesC Water) are much more radiogenic at the equator than at their origin in the South Equatorial Current (12 degreesS), revealing that these water masses have been in contact with the highly radiogenic Papua New Guinea (PNS) slope. In both cases, only a small fraction (less than 9%) of the sediment deposited on the PNG slope is required to be exchanged or dissolved to explain these Nd TC variations, whereas the hydrographic properties of the same water masses remain unchanged. This confirms the usefulness of this tracer to identify pathways of water masses. These results emphasize the importance of jets in transporting lithogenic material into the subsurface layers of remote areas, where aeolian inputs are particularly weak and corroborate the previous results on Fe and Al maximum in this area [M.L. Wells, G.K. Vallis, E.A. Silver, Nature 398 (1999) 601-604]. The Nd IC of the upper layer of the EUC contrasts strongly to that of the subpycnocline layer, indicating that the equatorial upwelling only affects the surface waters and is not effective between 120 and 150 m. We calculate that the Nd imprint of the PNG input is likely to vanish from this surface layer as it traverses the basin, due to the replacement of upwelled waters by non-radiogenic ones, (C) 2001 Elsevier Science B.V. All rights reserved.</t>
  </si>
  <si>
    <t>Observ Midi Pyrenees, LEGOS, CNRS CNES UPS, F-31400 Toulouse, France</t>
  </si>
  <si>
    <t>Universite de Toulouse; Universite Toulouse III - Paul Sabatier; Centre National de la Recherche Scientifique (CNRS); Institut de Recherche pour le Developpement (IRD); Laboratoire d'Etudes en Geophysique et oceanographie spatiales</t>
  </si>
  <si>
    <t>Observ Midi Pyrenees, LEGOS, CNRS CNES UPS, 14 Ave E Belin, F-31400 Toulouse, France.</t>
  </si>
  <si>
    <t>catherine.jeandel@cnes.fr</t>
  </si>
  <si>
    <t>Jeandel, Catherine/P-3789-2014; Lacan, Francois/B-8032-2009</t>
  </si>
  <si>
    <t>Jeandel, Catherine/0000-0002-4915-4719; Lacan, Francois/0000-0001-6794-2279</t>
  </si>
  <si>
    <t>APR 15</t>
  </si>
  <si>
    <t>10.1016/S0012-821X(01)00263-1</t>
  </si>
  <si>
    <t>425YD</t>
  </si>
  <si>
    <t>WOS:000168318500013</t>
  </si>
  <si>
    <t>Dowdy, A; Vincent, RA; Igarashi, K; Murayama, Y; Murphy, DJ</t>
  </si>
  <si>
    <t>A comparison of mean winds and gravity wave activity in the northern and southern polar MLT</t>
  </si>
  <si>
    <t>THERMAL STRUCTURE; MESOPAUSE; SUMMER; MESOSPHERE; DYNAMICS</t>
  </si>
  <si>
    <t>Mean winds and waves observed in the mesosphere and lower thermosphere with MF radars located at Davis (69 degreesS, 78 degreesE) and Poker Flat (65 degreesN, 147 degreesW) are compared. Measurements covering the period from 1999 to mid 2000 show differences in the strength of the horizontal wind fields. In the southern hemisphere the zonal and meridional winds reach their maximum values near the summer solstice, but are delayed by 2-3 weeks in the northern hemisphere. Gravity wave variances also show significant differences, as do the strength of vertical velocities.</t>
  </si>
  <si>
    <t>Univ Adelaide, Dept Phys &amp; Math Phys, Adelaide, SA 5005, Australia; Commun Res Lab, Upper Atmosphere Sect, Tokyo 1847895, Japan; Australian Antarctic Div, Kingston, Tas 7050, Australia</t>
  </si>
  <si>
    <t>University of Adelaide; National Institute of Information &amp; Communications Technology (NICT) - Japan; Australian Antarctic Division</t>
  </si>
  <si>
    <t>Dowdy, A (corresponding author), Univ Adelaide, Dept Phys &amp; Math Phys, Adelaide, SA 5005, Australia.</t>
  </si>
  <si>
    <t>Murayama, Yasuhiro/ABF-1698-2020; Vincent, Robert A/E-5450-2013; Dowdy, Andrew/J-3414-2016</t>
  </si>
  <si>
    <t>Murayama, Yasuhiro/0000-0003-1129-334X; Vincent, Robert A/0000-0001-6559-6544; Dowdy, Andrew/0000-0003-0720-4471</t>
  </si>
  <si>
    <t>10.1029/2000GL012576</t>
  </si>
  <si>
    <t>421LP</t>
  </si>
  <si>
    <t>WOS:000168066100018</t>
  </si>
  <si>
    <t>Jones, AE; Weller, R; Anderson, PS; Jacobi, HW; Wolff, EW; Schrems, O; Miller, H</t>
  </si>
  <si>
    <t>Measurements of NOx emissions from the Antarctic snowpack</t>
  </si>
  <si>
    <t>GREENLAND; TROPOSPHERE; SPECIATION; EXCHANGE; NITROGEN; SUMMIT; FLUXES</t>
  </si>
  <si>
    <t>It has been shown that NOx is produced photochemically within the snowpack of polar regions. If emitted to the atmosphere, this process could be a major source of NOx in remote snowcovered regions. We report here on measurements made at the German Antarctic station, Neumayer, during austral summer 1999, aimed at detecting and quantifying emissions of NOx from the surface snow. Gradients of NOx were measured, and fluxes calculated using local meteorology measurements. On the 2 days of flux measurements, the derived fluxes showed continual release from the snow surface, varying between similar to0 and 3x10(8) molecs/cm(2)/s. When not subject to turbulence, the variation was coincident with the uv diurnal cycle, suggesting rapid release once photochemically produced. Scaling the diurnal average of Feb. 7th (1.3x10(8) molecs/cm(2)/s) suggests an annual emission over Antarctica of the order 0.0076TgN.</t>
  </si>
  <si>
    <t>British Antarctic Survey, NERC, Cambridge CB3 0ET, England; Alfred Wegener Inst Polar &amp; Marine Res, D-27570 Bremerhaven, Germany</t>
  </si>
  <si>
    <t>Jones, AE (corresponding author), British Antarctic Survey, NERC, Madingley Rd, Cambridge CB3 0ET, England.</t>
  </si>
  <si>
    <t>Wolff, Eric W/D-7925-2014</t>
  </si>
  <si>
    <t>Wolff, Eric W/0000-0002-5914-8531; Miller, Heinrich/0000-0003-1015-2828; Jacobi, Hans-Werner/0000-0003-2230-3136</t>
  </si>
  <si>
    <t>10.1029/2000GL011956</t>
  </si>
  <si>
    <t>WOS:000168066100024</t>
  </si>
  <si>
    <t>Kindem, IT; Christiansen, B</t>
  </si>
  <si>
    <t>Tropospheric response to stratospheric ozone loss</t>
  </si>
  <si>
    <t>GENERAL-CIRCULATION MODEL; NORTHERN-HEMISPHERE; TEMPERATURE; DEPLETION; TRENDS; WINTER</t>
  </si>
  <si>
    <t>The response to realistic total column ozone trends on the troposphere and the stratosphere as simulated by the ARPEGE General Circulation Model (GCM) has been investigated. In both hemispheres, the lower stratosphere cooled and the polar vortex strengthened significantly during spring/early summer. The cooling trend was weaker than the observed trend in the Northern Hemisphere (NH), but stronger than the observed trend in the Southern Hemisphere (SH). In the troposphere, the changes in geopotential height resembled the positive phase of the Arctic Oscillation (AO) in the NH in March and the positive phase of the Antarctic Oscillation (AAO) in the SH during summer (December-February).</t>
  </si>
  <si>
    <t>Univ Bergen, Inst Geophys, N-5007 Bergen, Norway; Danish Inst Fundamental Metrol, DK-2100 Copenhagen, Denmark</t>
  </si>
  <si>
    <t>University of Bergen; Danish Fundamental Metrology</t>
  </si>
  <si>
    <t>Christiansen, B (corresponding author), Univ Bergen, Inst Geophys, N-5007 Bergen, Norway.</t>
  </si>
  <si>
    <t>Christiansen, Bo/HIK-1944-2022</t>
  </si>
  <si>
    <t>Christiansen, Bo/0000-0003-2792-4724</t>
  </si>
  <si>
    <t>10.1029/2000GL012552</t>
  </si>
  <si>
    <t>WOS:000168066100036</t>
  </si>
  <si>
    <t>Hanna, E</t>
  </si>
  <si>
    <t>Anomalous peak in Antarctic sea-ice area, winter 1998, coincident with ENSO</t>
  </si>
  <si>
    <t>TRENDS; VARIABILITY; EXTENT</t>
  </si>
  <si>
    <t>The results of an updated satellite analysis of hemispheric and regional Antarctic sea-ice cover are presented based on October 1987-September 1999 Special Sensor Microwave/Imager (SSM/I) data. These show an ongoing slight but significant hemispheric increase of 3.7(+/-0.3) % in extent and 6.6(+/-1.5) % in area. In the two principal sectors, Weddell Sea ice extent (area) decreased by 3.4(+/-1.0) (3.9(+/-4.6)) % and Ross Sea ice extent (area) increased by 10.9(+/-1.0) (18.3(+/-4.6)) %. Hemispheric, Ross Sea and Western Pacific Ocean ice peaks in September 1998 were anomalously high, and may have been related to atmospheric and oceanic anomalies in the Pacific Ocean and beyond associated with that year's exceptionally strong ENSO. Preliminary comparison of Antarctic sea-ice-concentration data with European Centre for Medium-Range Weather Forecasts (ECMWF) operational analyses fields suggests that the unusually extensive sea ice in winter 1998 was concomitant with an equatorward shift of the circumpolar westerly surface winds over the southern Pacific Ocean.</t>
  </si>
  <si>
    <t>Univ Plymouth, Inst Marine Studies, Plymouth PL4 8AA, Devon, England</t>
  </si>
  <si>
    <t>Univ Plymouth, Inst Marine Studies, Drake Circus, Plymouth PL4 8AA, Devon, England.</t>
  </si>
  <si>
    <t>E.Hanna@plymouth.ac.uk</t>
  </si>
  <si>
    <t>Hanna, Edward/H-2219-2016; Hanna, Edward/W-5927-2019</t>
  </si>
  <si>
    <t>Hanna, Edward/0000-0002-8683-182X; Hanna, Edward/0000-0002-8683-182X</t>
  </si>
  <si>
    <t>10.1029/2000GL012368</t>
  </si>
  <si>
    <t>WOS:000168066100048</t>
  </si>
  <si>
    <t>Meredith, M; Heywood, K; Dennis, P; Goldson, L; White, R; Fahrbach, E; Schauer, U; Osterhus, S</t>
  </si>
  <si>
    <t>Freshwater fluxes through the western Fram Strait</t>
  </si>
  <si>
    <t>NORTH-ATLANTIC OSCILLATION; ARCTIC-OCEAN; WATER MASSES; 2 REGIMES; CIRCULATION; ICE; SIMULATION; BALANCE; SHELF</t>
  </si>
  <si>
    <t>Two hydrographic and delta O-18 transects across Fram Strait (Aug-Sept 1997, 1998) are used to examine freshwater contributions to the East Greenland Current (EGC). The EGC featured up to similar to 16% meteoric water in both years, but was made comparatively more saline through the formation of up to similar to 11 m of sea ice. We derive meteoric water fluxes of similar to 3680 km(3)yr(-1) in Aug-Sept 1997, and similar to 2000 km(3)yr(-1) in Aug-Sept 1998. The 1997 and 1998 data show a long-term mean sea ice flux through Fram Strait around half the long-term mean meteoric water flux. A 1991 delta O-18 section [Bauch et al., 1995] yielded a very similar ratio. Our 1998 section reveals fresh, low-delta O-18 Water On the East Greenland shelf whose comparatively large volume constitutes a potentially significant contribution to the total freshwater flux through Fram Strait. Such fluxes are important to the regional and global thermohaline circulation; we suggest that efforts towards monitoring both the EGC and East Greenland shelf waters are thus required.</t>
  </si>
  <si>
    <t>British Antarctic Survey, Div Phys Sci, Cambridge CB3 0ET, England; Univ E Anglia, Sch Environm Sci, Norwich NR4 7TJ, Norfolk, England; Alfred Wegener Inst Polar &amp; Marine Res, D-27515 Bremerhaven, Germany; Norwegian Polar Res Inst, N-9296 Tromso, Norway</t>
  </si>
  <si>
    <t>UK Research &amp; Innovation (UKRI); Natural Environment Research Council (NERC); NERC British Antarctic Survey; University of East Anglia; Helmholtz Association; Alfred Wegener Institute, Helmholtz Centre for Polar &amp; Marine Research; Norwegian Polar Institute</t>
  </si>
  <si>
    <t>Meredith, M (corresponding author), British Antarctic Survey, Div Phys Sci, Madingley Rd, Cambridge CB3 0ET, England.</t>
  </si>
  <si>
    <t>; Heywood, Karen/L-1757-2016</t>
  </si>
  <si>
    <t>Meredith, Michael/0000-0002-7342-7756; Osterhus, Svein/0000-0001-9915-2685; Dennis, Paul/0000-0002-0307-4406; Heywood, Karen/0000-0001-9859-0026</t>
  </si>
  <si>
    <t>10.1029/2000GL011992</t>
  </si>
  <si>
    <t>WOS:000168066100053</t>
  </si>
  <si>
    <t>Bluhm, BA; Brey, T; Klages, M</t>
  </si>
  <si>
    <t>The autofluorescent age pigment lipofuscin:: key to age, growth and productivity of the Antarctic amphipod Waldeckia obesa (Chevreux, 1905)</t>
  </si>
  <si>
    <t>age determination; amphipoda; Antarctic; lipofuscin; population dynamics</t>
  </si>
  <si>
    <t>FRESH-WATER CRAYFISH; FLUORESCENT MORPHOLOGICAL LIPOFUSCIN; TEMPERATE ESTUARINE HABITATS; MUCRONATUS SAY AMPHIPODA; EASTERN WEDDELL SEA; SCAVENGING AMPHIPODS; LIFE-HISTORY; DEEP-SEA; EURYTHENES-GRYLLUS; MCMURDO SOUND</t>
  </si>
  <si>
    <t>Peracarid crustaceans are among the most important taxa in terms of biodiversity and carbon-flow within the Weddell Sea benthos; however, very few data on their age, growth and productivity are available. This study uses the pigment lipofuscin as on age marker in the scavenging amphipod Waldeckia obesa (Chevreux, 1905) from the eastern Weddell Sea. Resin brain sections of 159 trap-caught specimens (1.2 to 7.7 mm coxal plate length L-cox equal to 5 to 31 mm total length) were recorded digitally by confocal microscopy, and images were analysed. A modal progression analysis of the lipofuscin concentration-frequency distribution revealed five regularly spaced modes presumed to reflect consecutive annual age classes. Single females outside the range of mode V occurred, indicating maximum age of up to 8 years in females. No regular modes were obvious from the comparable length-frequency distribution of 386 individuals. Average yearly pigment accumulation was linear, and accumulation rates did not differ between sexes. The estimates of the growth parameters L-infinity and k of the von Bertalanffy growth function were 7.47 mm L-cox and 0.50 per year in females, respectively, and 6.92 mm L-cox and 0.60 per year in males, respectively. Mortality, estimated from catch curves, amounted to 0.27 per year in females and 0.43 per year in males. P/B ratio, calculated from the mass specific growth rate method, was 0.38 per year for the pooled population (0.25 per year in females, 0.31 per year in males, 2.26 per year in juveniles). The results are discussed with regard to advantages and drawbacks of the methodology, and are compared with results from wanner water habitats. (C) 2001 Elsevier Science B.V. All rights reserved.</t>
  </si>
  <si>
    <t>bluhm@awi-bremerhaven.de</t>
  </si>
  <si>
    <t>10.1016/S0022-0981(01)00214-3</t>
  </si>
  <si>
    <t>419FH</t>
  </si>
  <si>
    <t>WOS:000167938300005</t>
  </si>
  <si>
    <t>Fieg, K; Gerdes, R</t>
  </si>
  <si>
    <t>Sensitivity of the thermohaline circulation to modern and glacial surface boundary conditions</t>
  </si>
  <si>
    <t>ATLANTIC DEEP-WATER; GENERAL-CIRCULATION; OCEAN CIRCULATION; FLUX ADJUSTMENTS; NUMERICAL-MODEL; COUPLED MODEL; WORLD OCEAN; WEDDELL SEA; ICE; MAXIMUM</t>
  </si>
  <si>
    <t>We analyze the results from over 20 numerical experiments with a global ocean general circulation model (OGCM) under different present and last glacial maximum (LGM) surface boundary conditions. The model exhibits a large range of circulation strengths and patterns, including strong and deep overturning of North Atlantic Deep Water (NADW) under LGM boundary conditions. Parameterizations tuned for today's ocean and fixed atmospheric temperatures contribute to this failure. The experiments show a close relation between the NADW and Antarctic Bottom Water (AABW) overturning cells in the Atlantic. High transport in the NADW cell is associated with little or no transport of AABW. The strength of the AABW overturning cell depends sensitively on the treatment of sea ice in the Southern Ocean. An atmospheric energy balance model coupled with the OGCM allows a free response of the sea ice component. Because of the close link between NADW and AABW, the northern source of deep water must be relatively weak during the LGM. An ocean circulation consistent with paleoclimatic evidence only results when the surface salinity in the northern North Atlantic is reduced. The solution then shows a southward expansion of the Arctic domain and a southward shift of the deep water formation area in the North Atlantic. The glacial NADW is less dense than modern NADW, and AABW occupies a larger part of the abyssal ocean. Compared to modern distributions, there is almost no glacial Antarctic Intermediate Water causing middepth warming in the southern and tropical Atlantic.</t>
  </si>
  <si>
    <t>Alfred Wegener Inst Polar &amp; Meeresforsch, D-27515 Bremerhaven, Germany</t>
  </si>
  <si>
    <t>Fieg, K (corresponding author), Alfred Wegener Inst Polar &amp; Meeresforsch, Postfach 120161, D-27515 Bremerhaven, Germany.</t>
  </si>
  <si>
    <t>rgerdes@awi-brenerhaven.de</t>
  </si>
  <si>
    <t>C4</t>
  </si>
  <si>
    <t>10.1029/1999JC000102</t>
  </si>
  <si>
    <t>422UJ</t>
  </si>
  <si>
    <t>WOS:000168137400002</t>
  </si>
  <si>
    <t>Yasuda, I; Hiroe, Y; Komatsu, K; Kawasaki, K; Joyce, TM; Bahr, F; Kawasaki, Y</t>
  </si>
  <si>
    <t>Hydrographic structure and transport of the Oyashio south of Hokkaido and the formation of North Pacific Intermediate Water</t>
  </si>
  <si>
    <t>OKHOTSK SEA; VORTEX; REGION; FLOW</t>
  </si>
  <si>
    <t>Hydrographic structure and transport of the Oyashio south of Hokkaido were described with conductivity-temperature-depth and lowered acoustic Doppler current profiler (LADCP) survey performed in June 1998. The southwestward Oyashio transport just off the Hokkaido coast was 10.1 Sv in the density of 26.6-27.5 sigma (theta), in which 2.5 Sv was from the Okhotsk Sea and 7.6 Sv was from the Western Subarctic Gyre (WSAG). The Oyashio northeastward countercurrent was 4.9 Sv, The cross-gyre Oyashio transport in the area from the east coast of Hokkaido to the Subarctic Front was estimated to be 5.2 Sv; 2.4 Sv in 26.6-27.0 sigma (theta) was mainly composed of low potential vorticity Okhotsk Sea water and 2.8 Sv in 27.0-27.5 sigma (theta) mostly from WSAG, suggesting that the Okhotsk Sea water (WSAG water) would contribute to the formation of the upper (lower) part of the North Pacific Intermediate Water (NPIW). The Oyashio water was lower in oxygen than in the subtropical areas south of the Subarctic Front in the density of 26.9-27.6 sigma (theta), possibly because of the absence of the Antarctic Intermediate Water (AAIW) influence with the relatively high oxygen water that might be transported along the western boundary of the North Pacific Ocean and along the Kuroshio Extension, increasing the oxygen in the areas south of the Subarctic Front. Just south of the Subarctic Front, a cold- and fresh-core anticyclonic eddy was observed with a salinity minimum in the core, suggesting one possible formation process of NPIW. The density of the potential vorticity minimum in the southwestward Oyashio near Hokkaido was at around 26.65 sigma (theta), which was lower than 26.8-26.9 sigma (theta) observed in the early 1990s. This is possibly because the potential vorticity vertical profiles in the Okhotsk Sea and WSAG significantly changed corresponding to the water mass regime shift occurred in the Subarctic Pacific in the mid-1990s [Kawasaki, 1999].</t>
  </si>
  <si>
    <t>Univ Tokyo, Grad Sch Sci, Dept Earth &amp; Planetary Sci, Tokyo 1130033, Japan; Natl Res Inst Fisheries Sci, Kanagawa 2368648, Japan; Woods Hole Oceanog Inst, Woods Hole, MA 02543 USA</t>
  </si>
  <si>
    <t>University of Tokyo; Japan Fisheries Research &amp; Education Agency (FRA); Woods Hole Oceanographic Institution</t>
  </si>
  <si>
    <t>Univ Tokyo, Grad Sch Sci, Dept Earth &amp; Planetary Sci, Tokyo 1130033, Japan.</t>
  </si>
  <si>
    <t>ichiro@eps.s.u-tokyo.ac.jp</t>
  </si>
  <si>
    <t>Komatsu, Kosei/ABF-5243-2020</t>
  </si>
  <si>
    <t>Komatsu, Kosei/0000-0002-4731-7035</t>
  </si>
  <si>
    <t>10.1029/1999JC000154</t>
  </si>
  <si>
    <t>WOS:000168137400007</t>
  </si>
  <si>
    <t>Kim, KT; Jezek, KC; Sohn, HG</t>
  </si>
  <si>
    <t>Ice shelf advance and retreat rates along the coast of Queen Maud Land, Antarctica</t>
  </si>
  <si>
    <t>SHEET; IMAGERY; WEST; PENINSULA; DYNAMICS; EXTENT</t>
  </si>
  <si>
    <t>We mapped ice shelf margins along the Queen Maud Land coast, Antarctica, in a study of ice shelf margin variability over time, Our objective was to determine the behavior of ice shelves at similar latitudes but different longitudes relative to ice shelves that are dramatically retreating along the Antarctic Peninsula, possibly in response to changing global climate. We measured coastline positions from 1963 satellite reconnaissance photography acid 1997 RADARSAT synthetic aperture radar image data for comparison with coastlines inferred by other researchers who used Landsat data from the mid-1970s. We show that these ice shelves lost similar to6.8% of their total area between 1963 and 1997. Most of the areal reduction occurred between 1963 and the mid-1970s, Since then, ice margin positions have stabilized or even readvanced. We conclude that these ice shelves are in a near-equilibrium state with the coastal environment.</t>
  </si>
  <si>
    <t>Ohio State Univ, Byrd Polar Res Ctr, Columbus, OH 43210 USA; Ohio State Univ, Dept Civil &amp; Environm Engn, Columbus, OH 43210 USA; Ohio State Univ, Dept Geol Sci, Columbus, OH 43210 USA; Yonsei Univ, Dept Civil Engn, Seoul 120749, South Korea</t>
  </si>
  <si>
    <t>University System of Ohio; Ohio State University; University System of Ohio; Ohio State University; University System of Ohio; Ohio State University; Yonsei University</t>
  </si>
  <si>
    <t>Ohio State Univ, Byrd Polar Res Ctr, 108 Scott Hall,1090 Carmack Rd, Columbus, OH 43210 USA.</t>
  </si>
  <si>
    <t>kim.933@osu.edu; jezek@iceberg.mps.ohiu-state.edu; sohn1@yonsei.ac.kr</t>
  </si>
  <si>
    <t>Sohn, Hong gyoo/G-8899-2012; Sohn, Hong Gyoo/I-5331-2014</t>
  </si>
  <si>
    <t>10.1029/2000JC000317</t>
  </si>
  <si>
    <t>WOS:000168137400019</t>
  </si>
  <si>
    <t>Daly, KL; Smith, WO; Johnson, GC; DiTullio, GR; Jones, DR; Mordy, CW; Feely, RA; Hansell, DA; Zhang, JZ</t>
  </si>
  <si>
    <t>Hydrography, nutrients, and carbon pools in the Pacific sector of the Southern Ocean: Implications for carbon flux</t>
  </si>
  <si>
    <t>ANTARCTIC CIRCUMPOLAR CURRENT; DISSOLVED ORGANIC-CARBON; ZONE COLOR SCANNER; POLAR FRONTAL ZONE; PHYTOPLANKTON BLOOMS; INTERMEDIATE WATER; SURFACE WATERS; ECOSYSTEM STRUCTURE; INDIAN SECTOR; SILICIC-ACID</t>
  </si>
  <si>
    <t>We investigated the hydrography, nutrients, and dissolved and particulate carbon pools in the western Pacific sector of the Antarctic Circumpolar Current (ACC) during austral summer 1996 to assess the region's role in the carbon cycle. Low fCO(2) values along two transects indicated that much of the study area was a sink for atmospheric CO2. The fCO(2) values were lowest near the Polar Front (PF) and the Subtropical Front (STF), concomitant with maxima of chlorophyll a and particulate and dissolved organic carbon. The largest biomass accumulations did not occur at fronts, which had high surface geostrophic velocities (20-51 cm s(-1)), but in relatively low velocity regions near fronts or in an eddy. Thus vertical motion and horizontal advection associated with fronts may have replenished nutrients in surface waters but also dispersed phytoplankton. Although surface waters north of the PF have been characterized as a high nutrient-low chlorophyll region, low silicic acid (Si) concentrations (2-4 muM) may limit production of large diatoms and therefore the potential carbon flux. Low concentrations (4-10 muM Si) at depths of winter mixing constrain the level of Si replenishment to surface waters. It has been suggested that an increase in aeolian iron north of the PF may increase primary productivity and carbon export. Our results, however, indicate that while diatom growth and carbon export may be enhanced, the extent ultimately would be limited by the vertical supply of Si. South of the PF, the primary mechanism by which carbon is exported to deep water appears to be through diatom flux. We suggest that north of the PF, particulate and dissolved carbon may be exported primarily to intermediate depths through subduction and diapycnal mixing associated with Subantarctic Mode Water and Antarctic Intermediate Water formation. These physical-biological interactions and Si dynamics should be included in future biogeochemical models to provide a more accurate prediction of carbon flux.</t>
  </si>
  <si>
    <t>Coll William &amp; Mary, Virginia Inst Marine Sci, Gloucester Point, VA USA; NOAA, Pacific Marine Environm Lab, Seattle, WA 98115 USA; Univ Charleston, Grice Marine Lab, Charleston, SC 29412 USA; Univ Washington, Joint Inst Study Atmosphere &amp; Ocean, Seattle, WA 98195 USA; Bermuda Biol Stn Res, St Georges, Bermuda; Univ Miami, Rosenstiel Sch Marine &amp; Atmospher Sci, Cooperat Inst Marine &amp; Atmospher Studies, Miami, FL 33149 USA; Univ Tennessee, Dept Ecol &amp; Evolutionary Biol, Knoxville, TN USA</t>
  </si>
  <si>
    <t>William &amp; Mary; Virginia Institute of Marine Science; National Oceanic Atmospheric Admin (NOAA) - USA; College of Charleston; University of Washington; University of Washington Seattle; University of Miami; University of Tennessee System; University of Tennessee Knoxville</t>
  </si>
  <si>
    <t>Univ S Florida, Coll Marine Sci, 140 7th Ave S, St Petersburg, FL 33701 USA.</t>
  </si>
  <si>
    <t>kdaly@marine.usf.edu</t>
  </si>
  <si>
    <t>Zhang, Jia-Zhong/B-7708-2008; Hansell, Dennis A./AAC-1271-2019; Johnson, Gregory C/I-6559-2012; Mordy, Calvin W/J-6808-2017; Feely, Richard A./ABI-5740-2020</t>
  </si>
  <si>
    <t>Zhang, Jia-Zhong/0000-0002-1138-2556; Hansell, Dennis A./0000-0001-9275-3445; Johnson, Gregory C/0000-0002-8023-4020;</t>
  </si>
  <si>
    <t>10.1029/1999JC000090</t>
  </si>
  <si>
    <t>WOS:000168137400020</t>
  </si>
  <si>
    <t>Reynolds, RA; Stramski, D; Mitchell, BG</t>
  </si>
  <si>
    <t>A chlorophyll-dependent semianalytical reflectance model derived from field measurements of absorption and backscattering coefficients within the Southern Ocean</t>
  </si>
  <si>
    <t>PHYTOPLANKTON ABSORPTION; BIOOPTICAL PROPERTIES; DIFFUSE-REFLECTANCE; LIGHT-ABSORPTION; WATERS; SCATTERING; PHEOPIGMENTS; ALGORITHMS; DEPLETION; SPECTRA</t>
  </si>
  <si>
    <t>A semianalytical model was developed for the prediction of spectral remote sensing reflectance (R-rs) as a function of fluorometric chlorophyll a concentration (Chl) for two regions within the Southern Ocean: the Ross Sea and the Antarctic Polar Front Zone (APFZ). The model is based upon Chl-dependent parameterizations of the spectral absorption, a(lambda), and backscattering, b(b)(lambda), coefficients of seawater which were derived from field measurements. The relationships between a(lambda) and Chl were similar in both regions, but for comparable Chl the particulate backscattering was on average 4 times greater in the APFZ. Measurements of particle size distributions suggest that particle assemblages in the APFZ were characterized by a greater predominance of smaller particles, consistent with the observed regional differences in backscattering properties. The model is used to examine the separate influences of absorption and backscattering on the blue to green ratio of reflectance, R-rs(490)/R-rs(555). Variability in the spectral absorption ratio, resulting principally from changes in the relative contribution of water to total absorption in each band, contributes &gt;75% to changes in the R-rs(490)/R-rs(555) ratio as a function of Chl. However, variability in the spectral backscattering ratio appears to be the primary cause for the observed differentiation in the R-rs versus Chl relationships between the two regions.</t>
  </si>
  <si>
    <t>Univ Calif San Diego, Scripps Inst Oceanog, La Jolla, CA 92093 USA</t>
  </si>
  <si>
    <t>University of California System; University of California San Diego; Scripps Institution of Oceanography</t>
  </si>
  <si>
    <t>Univ Washington, Sch Oceanog, Seattle, WA 98195 USA.</t>
  </si>
  <si>
    <t>reynolds@ocean.washington.edu; stramski@mpl.ucsd.edu; gmitchell@ucsd.edu</t>
  </si>
  <si>
    <t>Reynolds, Rick A/C-7470-2014</t>
  </si>
  <si>
    <t>Reynolds, Rick A/0000-0002-1579-3600; Mitchell, B. Greg/0000-0002-8550-4333</t>
  </si>
  <si>
    <t>10.1029/1999JC000311</t>
  </si>
  <si>
    <t>WOS:000168137400021</t>
  </si>
  <si>
    <t>Thorn, V</t>
  </si>
  <si>
    <t>Vegetation communities of a high palaeolatitude Middle Jurassic forest in New Zealand</t>
  </si>
  <si>
    <t>New Zealand; Jurassic; Temaikan; fossil forest; polar; climate</t>
  </si>
  <si>
    <t>NORTHERN ANTARCTIC PENINSULA; ISLAND; FLORAS</t>
  </si>
  <si>
    <t>Fossil evidence of a high southern palaeolatitude (approximately 75-78 degrees South) Middle Jurassic (Temaikan) forest from Gondwana is investigated from the Murihiku Supergroup exposed at Kawhia Harbour. North Island, New Zealand. Horizons of fossilised tree stumps, preserved in growth position and rooted within coal-rich layers at bedding contacts, are exposed within cross-bedded medium-grained sandstone on the present-day shore platform. Interbedded siltstone and fine-grained sandstone contain terrestrial palynomorphs, fossilised leaves and other macroflora material (including cones and seeds). The sediments are interpreted as three fluvial facies (vegetated bar top, major sheet flood and channel fill and migration) within a sandy braided river palaeoenvironment. The fossil flora suggest the original vegetation was multi-layered and dominated by gymnosperms and ferns. Lycopods, bryophytes, fungi and algae also grew on the forest floor and in bar top pools. A model of plant communities is presented reflecting changing habitats up the side of interdistributary bars. The model is based on stratigraphically successive taphocenoses within vegetated bar top facies and the preferred growing conditions and life forms of comparable modern relatives. Lycopods and bryophytes on the saturated channel banks became less frequent higher up the bar on the damp, partially drained soil preferred by ferns and cycad trees. Favouring the drier bar top, arborescent gymnosperms thrived around probably ephemeral pools containing lycopods, bryophytes and algae. The characteristics of this fossil forest at Kawhia Harbour compare well to a similar Middle Jurassic site at Curie Bay in South Island, New Zealand, and other high southern palaeolatitude fossil floras from the late Mesozoic. A humid, warm climate with high average annual rainfall and large storms is interpreted from the Kawhia Harbour fossil forest for the New Zealand Middle Jurassic. These palaeoclimatic conditions are comparable to the modern mesothermal zone. (C) 2001 Elsevier Science B.V. All rights reserved.</t>
  </si>
  <si>
    <t>Victoria Univ Wellington, Sch Earth Sci, Wellington, New Zealand</t>
  </si>
  <si>
    <t>Victoria University Wellington</t>
  </si>
  <si>
    <t>Thorn, V (corresponding author), 33 Airlie Rd, Porirua City, New Zealand.</t>
  </si>
  <si>
    <t>Bowman, Vanessa/0000-0002-4887-3949</t>
  </si>
  <si>
    <t>10.1016/S0031-0182(01)00203-6</t>
  </si>
  <si>
    <t>427GY</t>
  </si>
  <si>
    <t>WOS:000168397500005</t>
  </si>
  <si>
    <t>Tolbert, MA; Toon, OB</t>
  </si>
  <si>
    <t>Atmospheric science - Solving the PSC mystery</t>
  </si>
  <si>
    <t>POLAR STRATOSPHERIC CLOUDS; NITRIC-ACID TRIHYDRATE; ANTARCTIC STRATOSPHERE; OZONE DEPLETION; DENITRIFICATION; PARTICLES; AEROSOLS</t>
  </si>
  <si>
    <t>Univ Colorado, Boulder, CO 80309 USA</t>
  </si>
  <si>
    <t>Tolbert, MA (corresponding author), Univ Colorado, Boulder, CO 80309 USA.</t>
  </si>
  <si>
    <t>APR 6</t>
  </si>
  <si>
    <t>10.1126/science.1060083</t>
  </si>
  <si>
    <t>420FU</t>
  </si>
  <si>
    <t>WOS:000167995200033</t>
  </si>
  <si>
    <t>Tomczak, MM; Hincha, DK; Estrada, SD; Feeney, RE; Crowe, JH</t>
  </si>
  <si>
    <t>Antifreeze proteins differentially affect model membranes during freezing</t>
  </si>
  <si>
    <t>BIOCHIMICA ET BIOPHYSICA ACTA-BIOMEMBRANES</t>
  </si>
  <si>
    <t>antifreeze protein; liposome; freezing stress; membrane fusion; galactolipid</t>
  </si>
  <si>
    <t>THERMAL HYSTERESIS PROTEIN; THYLAKOID MEMBRANES; ANTARCTIC FISHES; GLYCOPROTEINS; GLYCOPEPTIDES; RECRYSTALLIZATION; PURIFICATION; PROTECTION; LIPOSOMES; STABILITY</t>
  </si>
  <si>
    <t>Over the past decade antifreeze proteins from polar fish have been shown either to stabilize or disrupt membrane structure during low temperature and freezing stress. However, there has been no systematic study on how membrane composition affects the interaction of antifreeze proteins with membranes under stress conditions. Therefore, it is not possible at present to predict which antifreeze proteins will protect, and which will damage a particular membrane during chilling or freezing. Here, we analyze the effects of Freezing on spinach thylakoid membranes and on model membranes of varying lipid composition in the presence of antifreeze protein type I (AFP I) and specific fractions of antifreeze glycoproteins (AFGP). We find that the addition of galactolipids to phospholipid model membranes changes the effect each protein has on the membrane during freezing. However, the greatest differences observed in this study an between the different types of antifreeze proteins. We find that AFP type I and the largest molecular weight fractions of AFGP induce concentration dependent leakage from, and are fusogenic to the liposomes. This is the first report that an antifreeze protein induces membrane fusion. In contrast, the smallest fraction of AFGP offers a limited degree of protection during freezing and does not induce membrane fusion at concentrations up to 10 mg/ml. (C) 2001 Elsevier Science B.V. All rights reserved.</t>
  </si>
  <si>
    <t>Univ Calif Davis, Sect Mol &amp; Cellular Biol, Davis, CA 95616 USA; Max Planck Inst Mol Plant Physiol, D-14424 Potsdam, Germany; Univ Calif Davis, Dept Food Sci &amp; Technol, Davis, CA 95616 USA</t>
  </si>
  <si>
    <t>University of California System; University of California Davis; Max Planck Society; University of California System; University of California Davis</t>
  </si>
  <si>
    <t>Queens Univ, Dept Biochem, Botterell Hall,6th Floor, Kingston, ON K7L 3N6, Canada.</t>
  </si>
  <si>
    <t>tomczakm@post.queensu.ca</t>
  </si>
  <si>
    <t>0005-2736</t>
  </si>
  <si>
    <t>0006-3002</t>
  </si>
  <si>
    <t>BBA-BIOMEMBRANES</t>
  </si>
  <si>
    <t>Biochim. Biophys. Acta-Biomembr.</t>
  </si>
  <si>
    <t>APR 2</t>
  </si>
  <si>
    <t>10.1016/S0005-2736(01)00281-4</t>
  </si>
  <si>
    <t>419HG</t>
  </si>
  <si>
    <t>WOS:000167942800006</t>
  </si>
  <si>
    <t>Chen, J; Liu, XH; Ju, YT; Xu, J; Yan, YJ</t>
  </si>
  <si>
    <t>The classification of the first four Antarctic meteorites in China</t>
  </si>
  <si>
    <t>ACTA PETROLOGICA SINICA</t>
  </si>
  <si>
    <t>Chinese</t>
  </si>
  <si>
    <t>Antarctica; Grove Mountains; meteorite</t>
  </si>
  <si>
    <t>Four Antarctic meteorites have been collected for the first time from the Grove Mountains of East Antarctica, during the 15th Chinese National Antarctic Research Expedition (15th CHINARE) in 1998 similar to 1944 austral season. According to the new nomenclature principles of The Nomenclature Committee of International Meteorite Association, these four meteorites are respectively nominated as GRV98001. CRV98002, GRV98003 and GRV9004. After primary studies of petrology, mineralogy and chemical analysis, the classification of these meteorites is as follows: GRV98001, CRV98002 and GRV98004 belong to the ordinary chondrite. GRV98002 attributes to the L5 group and the GRV98004 attributes to the HS group; while GRV98003 attributes to the extreme fine grain octahedron iron meteorite.</t>
  </si>
  <si>
    <t>Peking Univ, Dept Phys, Electron Microscopy Lab, Beijing 100871, Peoples R China; Chinese Acad Sci, Inst Geol &amp; Geophys, Lab Lithosphere Tecton Evolut, Beijing 100029, Peoples R China; Tsing Hua Univ, Electron Microscopy Lab, Beijing 100084, Peoples R China</t>
  </si>
  <si>
    <t>Peking University; Chinese Academy of Sciences; Institute of Geology &amp; Geophysics, CAS; Tsinghua University</t>
  </si>
  <si>
    <t>Chen, J (corresponding author), Peking Univ, Dept Phys, Electron Microscopy Lab, Beijing 100871, Peoples R China.</t>
  </si>
  <si>
    <t>1000-0569</t>
  </si>
  <si>
    <t>ACTA PETROL SIN</t>
  </si>
  <si>
    <t>Acta Petrol. Sin.</t>
  </si>
  <si>
    <t>APR</t>
  </si>
  <si>
    <t>428JB</t>
  </si>
  <si>
    <t>WOS:000168457600016</t>
  </si>
  <si>
    <t>Hill, MS; Ferguson, JWH; Bester, MN; Kerley, GIH</t>
  </si>
  <si>
    <t>Preliminary comparison of calls of the hybridizing fur seals Arctocephalos tropicalis and A-gazella</t>
  </si>
  <si>
    <t>AFRICAN ZOOLOGY</t>
  </si>
  <si>
    <t>fur seals; sound communication; mate recognition; systematics; Marion Island</t>
  </si>
  <si>
    <t>PRINCE-EDWARD-ISLANDS; MARION-ISLAND</t>
  </si>
  <si>
    <t>The Antarctic fur seal (Arctocephalus gazella) and the Subantarctic fur seal (A. tropicalis) hybridize on a relatively small scale at Marion Island. To date the description of calls published for A. tropicalis and A, gazella are fragmented and not easily compared. We compare the vocal signalling of males and females of the two species of fur seals to aid understanding of the factors involved in hybridization. Five call types were compared: barking, guttural challenges and territorial calls emitted by adult males; the pup attraction call used by adult females and the response: female attraction call emitted by pups. The calls emitted by males of the two species have certain similarities but are separated by multivariate analyses. By contrast, the calls of females and pups of the two species are more similar and do not cluster separately. Since many of the differences in male calls are audible to the human ear, female seals can presumably also hear these differences and we suggest that interbreeding of the two fur seal taxa is not caused by similarity in male vocal communication. Following this preliminary study, further behavioural studies are required for a fuller understanding of hybridization in these animals.</t>
  </si>
  <si>
    <t>Ferguson, JWH (corresponding author), Univ Pretoria, Dept Zool &amp; Entomol, Mammal Res Inst, ZA-0002 Pretoria, South Africa.</t>
  </si>
  <si>
    <t>jwhferguson@zoology.up.ac.za</t>
  </si>
  <si>
    <t>Ferguson, Jan/A-5598-2011; Kerley, Graham I H/B-7774-2009; Bester, Marthán N/E-5387-2010</t>
  </si>
  <si>
    <t>ZOOLOGICAL SOC SOUTHERN AFRICA</t>
  </si>
  <si>
    <t>SCOTTSVILLE</t>
  </si>
  <si>
    <t>AFRICAN ZOOLOGY CIRCULATION OFFICE, UNIV KWAZULU-NATAL, SCHOOL BIOL &amp; CONSERVATION SCI, P B X01, SCOTTSVILLE 3209, SOUTH AFRICA</t>
  </si>
  <si>
    <t>1562-7020</t>
  </si>
  <si>
    <t>2224-073X</t>
  </si>
  <si>
    <t>AFR ZOOL</t>
  </si>
  <si>
    <t>Afr. Zool.</t>
  </si>
  <si>
    <t>442ED</t>
  </si>
  <si>
    <t>WOS:000169271500006</t>
  </si>
  <si>
    <t>Bloom, ET</t>
  </si>
  <si>
    <t>Governing the frozen commons: The Antarctic regime and environmental protection.</t>
  </si>
  <si>
    <t>AMERICAN JOURNAL OF INTERNATIONAL LAW</t>
  </si>
  <si>
    <t>US Dept State, Washington, DC 20520 USA</t>
  </si>
  <si>
    <t>Bloom, ET (corresponding author), US Dept State, Washington, DC 20520 USA.</t>
  </si>
  <si>
    <t>0002-9300</t>
  </si>
  <si>
    <t>2161-7953</t>
  </si>
  <si>
    <t>AM J INT LAW</t>
  </si>
  <si>
    <t>Am. J. Int. Law</t>
  </si>
  <si>
    <t>International Relations; Law</t>
  </si>
  <si>
    <t>International Relations; Government &amp; Law</t>
  </si>
  <si>
    <t>450WN</t>
  </si>
  <si>
    <t>WOS:000169768000015</t>
  </si>
  <si>
    <t>Egginton, S; Forster, ME; Davison, W</t>
  </si>
  <si>
    <t>Control of vascular tone in notothenioid fishes is determined by phylogeny, not environmental temperature</t>
  </si>
  <si>
    <t>AMERICAN JOURNAL OF PHYSIOLOGY-REGULATORY INTEGRATIVE AND COMPARATIVE PHYSIOLOGY</t>
  </si>
  <si>
    <t>Antarctica; catecholamines; myography; serotonin</t>
  </si>
  <si>
    <t>BLOODED ANTARCTIC FISHES; VERY-LOW TEMPERATURES; HUMAN HAND VEINS; PAGOTHENIA-BORCHGREVINKI; PRESSURE CONTROL; ATLANTIC COD; GADUS-MORHUA; BERNACCHII; EVOLUTION; EXERCISE</t>
  </si>
  <si>
    <t>We examined potential vasomotor control mechanisms in an Antarctic fish (Trematomus bernacchii; usual core temperature approximately -1 degreesC), comparing sensitivity to agonists by means of the cumulative dose response and potency with reference to depolarization by 50 mM KCl. In efferent branchial arteries, norepinephrine (NE) produced similar to 20% of the maximal KCl tension and similar to 40% in the presence of 10(-3) M sotalol, suggesting a modest contribution of alpha- and beta -adrenergic tonus [half-maximal response (pEC(50)) = 6.29 +/- 0.37 M]. Carbachol (CBC) and serotonin (5-HT) had different sensitivities (pEC(50) = 4.50 +/- 0.40 and 6.82 +/- 0.08 M, respectively) but similar potencies (21.6 +/- 11.1 and 31.1 +/- 5.3% of KCl). A related species from warmer waters around New Zealand, Paranotothenia angustata, had similar vascular reactivity for NE (pEC(50) = 5.48 +/- 0.31 M), CBC (pEC(50) = 4.94 +/- 0.22 M), and methysergide-sensitive vasoconstriction with 5-HT (pEC(50) = 6.22 +/- 0.40 M). Agonist potencies were 9, 65, and 45% that of KCl, respectively. Bovichtus variegatus, a member of the phylogenetic sister group to the notothenioids, also gave broadly similar responses. In contrast, Dissostichus mawsoni, a pelagic Antarctic notothenioid, showed a dominance of vasodilatation over vasoconstriction, with sensitive isoprenaline (pEC(50) = 6.66 +/- 0.05 M) but weak serotonergic (5.2 +/- 1.5% KCl) responses. The unusual dominance of serotonergic control appears to be primarily a consequence of evolutionary lineage rather than low environmental temperature, but the pattern may be modified according to functional demand.</t>
  </si>
  <si>
    <t>Univ Birmingham, Sch Med, Dept Physiol, Birmingham B15 2TT, W Midlands, England; Univ Canterbury, Dept Zool, Christchurch 1, New Zealand</t>
  </si>
  <si>
    <t>University of Birmingham; University of Canterbury</t>
  </si>
  <si>
    <t>Egginton, S (corresponding author), Univ Birmingham, Sch Med, Dept Physiol, Vincent Dr, Birmingham B15 2TT, W Midlands, England.</t>
  </si>
  <si>
    <t>Egginton, Stuart/0000-0002-3084-9692</t>
  </si>
  <si>
    <t>AMER PHYSIOLOGICAL SOC</t>
  </si>
  <si>
    <t>0363-6119</t>
  </si>
  <si>
    <t>AM J PHYSIOL-REG I</t>
  </si>
  <si>
    <t>Am. J. Physiol.-Regul. Integr. Comp. Physiol.</t>
  </si>
  <si>
    <t>R1197</t>
  </si>
  <si>
    <t>R1205</t>
  </si>
  <si>
    <t>10.1152/ajpregu.2001.280.4.R1197</t>
  </si>
  <si>
    <t>Physiology</t>
  </si>
  <si>
    <t>410NG</t>
  </si>
  <si>
    <t>WOS:000167445600036</t>
  </si>
  <si>
    <t>Marcinek, DJ; Bonaventura, J; Wittenberg, JB; Block, BA</t>
  </si>
  <si>
    <t>Oxygen affinity and amino acid sequence of myoglobins from endothermic and ectothermic fish</t>
  </si>
  <si>
    <t>kinetics; Scombroidei; oxygen; binding; tunas</t>
  </si>
  <si>
    <t>ANTARCTIC NOTOTHENIOID FISHES; SPERM WHALE MYOGLOBIN; SKELETAL-MUSCLE; NITRIC-OXIDE; YELLOWFIN TUNA; LIGAND-BINDING; EVOLUTION; HEATER; DESATURATION; TEMPERATURE</t>
  </si>
  <si>
    <t>Myoglobin (Mb) buffers intracellular O-2 and facilitates diffusion of O-2 through the cell. These functions of Mb will be most effective when intracellular PO2 is near the partial pressure of oxygen at which Mb is half saturated (P-50) of the molecule. We test the hypothesis that Mb oxygen affinity has evolved such that it is conserved when adjusted for body temperature among closely related animals. We measure oxygen P(50)s tonometrically and oxygen dissociation rate constants with stopped flow and generate amino acid sequence from cDNA of Mbs from fish with different body temperatures. P(50)s for the endothermic bluefin tuna, skipjack tuna, and blue marlin at 20 degreesC were 0.62 +/- 0.02, 0.59 +/- 0.01, 0.58 +/- 0.04 mmHg, respectively, and were significantly lower than those for ectothermic bonito (1.03 +/- 0.07 mmHg) and mackerel (1.39 +/- 0.03 mmHg). Because the oxygen affinity of Mb decreases with increasing temperature, the above differences in oxygen affinity between endothermic and ectothermic fish are reduced when adjusted for the in vivo muscle temperature of the animal. Oxygen dissociation rate constants at 20 degreesC for the endothermic species ranged from 34.1 to 49.3 s(-1), whereas those for mackerel and bonito were 102 and 62 s(-1), respectively. Correlated with the low oxygen affinity and fast dissociation kinetics of mackerel Mb is a substitution of alanine for proline that would likely result in a more flexible mackerel protein.</t>
  </si>
  <si>
    <t>Stanford Univ, Tuna Res &amp; Conservat Ctr, Pacific Grove, CA 93950 USA; Stanford Univ, Hopkins Marine Stn, Pacific Grove, CA 93950 USA; Duke Univ, Med Ctr, Marine Lab, Beaufort, NC 28516 USA; Nicholas Sch Environm, Beaufort, NC 28516 USA; Albert Einstein Coll Med, Dept Physiol &amp; Biophys, Bronx, NY 10461 USA</t>
  </si>
  <si>
    <t>Stanford University; Stanford University; Duke University; Yeshiva University; Albert Einstein College of Medicine</t>
  </si>
  <si>
    <t>Marcinek, DJ (corresponding author), Univ Washington, Med Ctr, Dept Radiol, Box 357115, Seattle, WA 98195 USA.</t>
  </si>
  <si>
    <t>Marcinek, David/0000-0001-5187-2149</t>
  </si>
  <si>
    <t>R1123</t>
  </si>
  <si>
    <t>R1133</t>
  </si>
  <si>
    <t>10.1152/ajpregu.2001.280.4.R1123</t>
  </si>
  <si>
    <t>WOS:000167445600026</t>
  </si>
  <si>
    <t>Hein, R; Dameris, M; Schnadt, C; Land, C; Grewe, V; Köhler, I; Ponater, M; Sausen, R; Steil, B; Landgraf, J; Brühl, C</t>
  </si>
  <si>
    <t>Results of an interactively coupled atmospheric chemistry -: general circulation model:: Comparison with observations</t>
  </si>
  <si>
    <t>atmospheric composition and structure (middle; atmosphere composition and chemistry); meteorology and atmospheric dynamics (general circulation middle atmosphere dynamics)</t>
  </si>
  <si>
    <t>HALOGEN OCCULTATION EXPERIMENT; QUASI-BIENNIAL OSCILLATION; CHEMICAL OZONE DEPLETION; AIRCRAFT NOX EMISSIONS; ARCTIC POLAR VORTEX; MIDDLE ATMOSPHERE; WATER-VAPOR; STRATOSPHERIC OZONE; CLIMATE-CHANGE; INTERCOMPARISON PROJECT</t>
  </si>
  <si>
    <t>The coupled climate-chemistry model ECHAM4.L39(DLR)/CHEM is presented which enables a simultaneous treatment of meteorology and atmospheric chemistry and their feedbacks. This is the first model which interactively combines a general circulation model with a chemical model, employing most of the important reactions and species necessary to describe the stratospheric and upper tropospheric ozone chemistry, and which is computationally fast enough to allow long-term integrations with currently available computer resources. This is possible as the model time-step used for the chemistry can be chosen as large as the integration time-step for the dynamics. Vertically the atmosphere is discretized by 39 levels from the surface up to the top layer which is centered at 10 hPa, with a relatively high vertical resolution of approximately 700 m near the extra-tropical tropopause. We present the results of a control simulation representing recent conditions (1990) and compare it to available observations. The focus is on investigations of stratospheric dynamics and chemistry relevant to describe the stratospheric ozone layer. ECHAM4.L39(DLR)/CHEM reproduces main features of stratospheric dynamics in the arctic vortex region, including stratospheric warming events. This constitutes a major improvement compared to earlier model versions. However, apparent shortcomings in antarctic circulation and temperatures persist. The seasonal and interannual variability of the ozone layer is simulated in accordance with observations. Activation and deactivation of chlorine in the polar stratospheric vortices and their inter-hemispheric differences are reproduced. Considering methane oxidation as part of the dynamic-chemistry feedback results in an improved representation of the spatial distribution of stratospheric water vapour concentrations. The current model constitutes a powerful tool to investigate, for instance, the combined direct and indirect effects of anthropogenic trace gas emissions.</t>
  </si>
  <si>
    <t>Deutsch Zentrum Luft &amp; Raumfahrt eV DLR, Inst Phys Atmosphar, Oberpfaffenhofen, Wessling, Germany; Max Planck Inst Chem, Abt Chem Atmosphare, D-55128 Mainz, Germany</t>
  </si>
  <si>
    <t>Helmholtz Association; German Aerospace Centre (DLR); Max Planck Society</t>
  </si>
  <si>
    <t>Deutsch Zentrum Luft &amp; Raumfahrt eV DLR, Inst Phys Atmosphar, Oberpfaffenhofen, Wessling, Germany.</t>
  </si>
  <si>
    <t>martin.dameris@dlr.de</t>
  </si>
  <si>
    <t>Grewe, Volker/JCE-0830-2023; Grewe, Volker/A-6147-2011; Ponater, Michael/AAQ-4907-2020</t>
  </si>
  <si>
    <t>Grewe, Volker/0000-0002-8012-6783; Schnadt Poberaj, Christina/0009-0007-6283-1044; Dameris, Martin/0000-0001-6700-0628; Ponater, Michael/0000-0002-9771-4733</t>
  </si>
  <si>
    <t>COPERNICUS GESELLSCHAFT MBH</t>
  </si>
  <si>
    <t>GOTTINGEN</t>
  </si>
  <si>
    <t>BAHNHOFSALLEE 1E, GOTTINGEN, 37081, GERMANY</t>
  </si>
  <si>
    <t>1432-0576</t>
  </si>
  <si>
    <t>ANN GEOPHYS-GERMANY</t>
  </si>
  <si>
    <t>10.5194/angeo-19-435-2001</t>
  </si>
  <si>
    <t>453DH</t>
  </si>
  <si>
    <t>WOS:000169900900004</t>
  </si>
  <si>
    <t>Hoyoux, A; Jennes, I; Dubois, P; Genicot, S; Dubail, F; François, JM; Baise, E; Feller, G; Gerday, C</t>
  </si>
  <si>
    <t>Cold-adapted β-galactosidase from the Antarctic psychrophile Pseudoalteromonas haloplanktis</t>
  </si>
  <si>
    <t>ESCHERICHIA-COLI; SEQUENCE; FLEXIBILITY; ADAPTATION; PROTEINS; ENZYMES; PURIFICATION; CONTRACTION; ACTIVATION; BINDING</t>
  </si>
  <si>
    <t>The beta -galactosidase from the Antarctic gram-negative bacterium Pseudoalteromonas haloplanktis TAE 79 was purified to homogeneity, The nucleotide sequence and the NH2-terminal amino acid sequence of the purified enzyme indicate that the beta -galactosidase subunit is composed of 1,038 amino acids with a calculated M, of 118,068. This beta -galactosidase shares structural properties with Escherichia coli beta -galactosidase (comparable subunit mass, 51% amino sequence identity, conservation of amino acid residues involved in catalysis, similar optimal pH value, and requirement for divalent metal ions) but is characterized by a higher catalytic efficiency on synthetic and natural substrates and by a shift of apparent optimum activity toward low temperatures and lower thermal stability. The enzyme also differs by a higher pi (7.8) and by specific thermodynamic activation parameters. P. haloplanktis beta -galactosidase was expressed in E. coli, and the recombinant enzyme displays properties identical to those of the wild-type enzyme. Heat-induced unfolding monitored by intrinsic fluorescence spectroscopy showed lower melting point values for both P. haloplanktis wild-type and recombinant beta -galactosidase compared to the mesophilic enzyme. Assays of lactose hydrolysis in milk demonstrate that P. haloplanktis beta -galactosidase can outperform the current commercial beta -galactosidase from Kluyveromyces marxianus var. lactis, suggesting that the cold-adapted beta -galactosidase could be used to hydrolyze lactose in dairy products processed in refrigerated plants.</t>
  </si>
  <si>
    <t>Univ Liege, Inst Chem, Biochem Lab, B-4000 Liege, Belgium</t>
  </si>
  <si>
    <t>Gerday, C (corresponding author), Univ Liege, Inst Chem, Biochem Lab, B6A, B-4000 Liege, Belgium.</t>
  </si>
  <si>
    <t>DUBOIS, Philippe G/B-9983-2008</t>
  </si>
  <si>
    <t>Dubois, Philippe/0000-0003-1534-1564</t>
  </si>
  <si>
    <t>10.1128/AEM.67.4.1529-1535.2001</t>
  </si>
  <si>
    <t>417ZN</t>
  </si>
  <si>
    <t>WOS:000167865500020</t>
  </si>
  <si>
    <t>Brierley, AS; Fernandes, PG</t>
  </si>
  <si>
    <t>Diving depths of Northern Gannets:: Acoustic observations of Sula bassana from an autonomous underwater vehicle</t>
  </si>
  <si>
    <t>AUK</t>
  </si>
  <si>
    <t>PERFORMANCE; ALBATROSSES; PENGUINS; SHETLAND; OCEAN; SEA</t>
  </si>
  <si>
    <t>The Autonomous Underwater Vehicle (AUV) Auiosub-1 made observations of the sea surface with an upward-looking echosounder during fish surveys in the vicinity of Shetland and Orkney (North Sea) in July 1999. Echograms from the AUV contained vertical traces extending downwards from the sea surface that were caused by diving seabirds. Visual observations provided evidence that those seabirds were Northern Cannets Sula bassana. Analysis of trace extent suggests a mean dive depth of 19.7 m (n = 19, SD = 7.5). Data on gannet diving depths are sparse, but this value is somewhat deeper than that accepted for the related Cafe Gannet (Morus capensis, mean 5.9 m) which has been used in foraging models for the Northern Gannet. These observations have implications for our understanding of the foraging capabilities of gannets, and the interactions of gannets with commercially targeted fish species.</t>
  </si>
  <si>
    <t>British Antarctic Survey, Cambridge CB3 0ET, England; FRS Marine Lab Aberdeen, Aberdeen AB11 9DB, Scotland</t>
  </si>
  <si>
    <t>Brierley, AS (corresponding author), Univ St Andrews, Gatty Marine Lab, St Andrews KY16 8LB, Fife, Scotland.</t>
  </si>
  <si>
    <t>Fernandes, Paul George/H-2972-2013; Brierley, Andrew/G-8019-2011</t>
  </si>
  <si>
    <t>Fernandes, Paul George/0000-0003-4135-115X; Brierley, Andrew/0000-0002-6438-6892</t>
  </si>
  <si>
    <t>AMER ORNITHOLOGISTS UNION</t>
  </si>
  <si>
    <t>0004-8038</t>
  </si>
  <si>
    <t>10.1642/0004-8038(2001)118[0529:DDONGA]2.0.CO;2</t>
  </si>
  <si>
    <t>445PP</t>
  </si>
  <si>
    <t>WOS:000169466700026</t>
  </si>
  <si>
    <t>Gallée, H; Guyomarc'h, G; Brun, E</t>
  </si>
  <si>
    <t>Impact of snow drift on the Antarctic ice sheet surface mass balance:: Possible sensitivity to snow-surface properties</t>
  </si>
  <si>
    <t>BOUNDARY-LAYER METEOROLOGY</t>
  </si>
  <si>
    <t>Antarctica; blowing snow; katabatic winds; mesoscale modelling</t>
  </si>
  <si>
    <t>MODEL; SIMULATION; GREENLAND; TRANSPORT; ENERGY; ZONE; SEA</t>
  </si>
  <si>
    <t>A mesoscale atmospheric numerical model is coupled with a physically based snow-pack model and with a snow-drift model. The snow model is verified for the French Alps by comparing its simulations to observations performed at the Col de Forte in the Chartreuse Massif. The snow erosion threshold depends on snow-pack properties such as density, dendricity, sphericity and particle size. The atmospheric turbulence scheme is modified in order to take into account stabilization effects due to airborne blown snow particles. In particular, vertically integrated stability functions for the stable boundary layer are completed by including the threshold friction velocity for snow erosion. The snow-drift model is calibrated by simulating the conditions observed during the Byrd snow project, held in West Antarctica in 1962. Finally, sensitivity experiments to the snow-surface properties show the importance of their accurate representation when modelling the contribution of deflation to the Antarctic surface mass balance.</t>
  </si>
  <si>
    <t>Univ Catholique Louvain, Inst Astron &amp; Geophys G Lemaitre, B-1348 Louvain, Belgium; Meteo France, CNRM, Ctr Etud Neige, F-38406 St Martin Dheres, France</t>
  </si>
  <si>
    <t>Universite Catholique Louvain; Meteo France</t>
  </si>
  <si>
    <t>Gallée, H (corresponding author), Univ Catholique Louvain, Inst Astron &amp; Geophys G Lemaitre, 2 Chemin Cyclotron, B-1348 Louvain, Belgium.</t>
  </si>
  <si>
    <t>0006-8314</t>
  </si>
  <si>
    <t>BOUND-LAY METEOROL</t>
  </si>
  <si>
    <t>Bound.-Layer Meteor.</t>
  </si>
  <si>
    <t>10.1023/A:1018776422809</t>
  </si>
  <si>
    <t>415QQ</t>
  </si>
  <si>
    <t>WOS:000167734500001</t>
  </si>
  <si>
    <t>Parris, BS</t>
  </si>
  <si>
    <t>Circum-Antarctic continental distribution patterns in pteridophyte species</t>
  </si>
  <si>
    <t>BRITTONIA</t>
  </si>
  <si>
    <t>16th International Botanical Congress</t>
  </si>
  <si>
    <t>AUG 02-06, 1999</t>
  </si>
  <si>
    <t>ST LOUIS, MISSOURI</t>
  </si>
  <si>
    <t>biogeography; circum-Antarctic; long-distance dispersal; pteridophytes</t>
  </si>
  <si>
    <t>SEQUENCES; FERNS</t>
  </si>
  <si>
    <t>Parris. B. S. (Fern Research Foundation, 21 James Kemp Place, Kerikeri, Bay of Islands. New Zealand). Circum-Antarctic continental distribution patterns in pteridophyte species. Brittonia 53: 270-283. 2001.-Four major austral continental distribution patterns are evident in pteridophytes. Twenty-two species are completely circum-Antarctic. Another 39 species are partially circum-Antarctic, occurring in Australasia (Australia and New Zealand) and Africa (including Madagascar) but not South America, while 29 are in Africa and South America but not Australasia, and 13 are in South America and Australasia but not Africa. Two hypotheses are considered as explanations for the patterns: continental drift following the breakup of Gondwana and long-distance dispersal. Fossil evidence indicates that the majority of pteridophyte families involved appeared after the southern continents had drifted apart, so long-distance dispersal is likely to explain the distribution of species in these families on now widely separated continents. For those families extant before the break-up, there is no indication in the fossil record that the species involved were present in Gondwana. Aspects of the ecology of the species that are partly or completely circum-Antarctic indicate that long-distance dispersal, rather than continental drift. is a likely explanation for the patterns.</t>
  </si>
  <si>
    <t>Fern Res Fdn, Kerikeri, Bay Of Islands, New Zealand</t>
  </si>
  <si>
    <t>Parris, BS (corresponding author), Fern Res Fdn, 21 James Kemp Pl, Kerikeri, Bay Of Islands, New Zealand.</t>
  </si>
  <si>
    <t>Parris, Barbara/AAV-7683-2021</t>
  </si>
  <si>
    <t>Parris, Barbara/0000-0002-0478-627X</t>
  </si>
  <si>
    <t>NEW YORK BOTANICAL GARDEN</t>
  </si>
  <si>
    <t>BRONX</t>
  </si>
  <si>
    <t>PUBLICATIONS DEPT, BRONX, NY 10458 USA</t>
  </si>
  <si>
    <t>0007-196X</t>
  </si>
  <si>
    <t>Brittonia</t>
  </si>
  <si>
    <t>APR-JUN</t>
  </si>
  <si>
    <t>10.1007/BF02812702</t>
  </si>
  <si>
    <t>458XK</t>
  </si>
  <si>
    <t>WOS:000170220600004</t>
  </si>
  <si>
    <t>Brownsey, PJ</t>
  </si>
  <si>
    <t>New Zealand's pteridophyte flora - plants of ancient lineage but recent arrival?</t>
  </si>
  <si>
    <t>endemism; ferns; long distance dispersal; New Zealand; pteridophytes; vicariance</t>
  </si>
  <si>
    <t>Brownsey, P J. (Museum of New Zealand. P.O. Box 467, Wellington, New Zealand). New Zealand's pteridophyte flora-plants of ancient lineage but recent arrival? Brittonia 53: 284-303. 2001.-A hypothesis is presented that most pteridophytes arrived in New Zealand relatively recently, by long-distance dispersal. The flora comprises 194 native species, of which 89 (46%) are endemic and 105 (54%) are widespread. Of the latter, 90% are shared with temperate Australasia, 53% with tropical regions, 14% with temperate southern Africa and 13% with the circum-Antarctic islands and South America. New Zealand has undergone such dramatic changes in location, land area, and topography since initial separation from Gondwana 85 Ma that it seems improbable that the 95 species shared with temperate Australasia could have remained conspecific throughout that time. Modem fossil and molecular evidence strongly suggest that many families of ferns had not even evolved prior to separation, and palynological evidence from New Zealand indicates that 78% of pteridophyte genera first appeared there only after separation from Gondwana. Present-day distributions in New Zealand suggest that ferns have greater dispersal potential than flowering plants, and that pteridophyte distributions are more heavily influenced by temperature, rainfall, and geothermal activity than by geological history. Most endemic pteridophyte species have a predominantly southern distribution pattern and are characteristic of cool, lowland to montane forest. Pteridophytes in the nor-them part of New Zealand show a lower level of endemism than elsewhere and tend to be widespread species that have arrived from temperate Australasian and tropical regions. There is also evidence that at least some pteridophytes have migrated from New Zealand to Australia. It is suggested that the hypothesis of long-distance dispersal of pteridophytes across the Tasman Sea could be tested by molecular techniques.</t>
  </si>
  <si>
    <t>Museum New Zealand, Wellington, New Zealand</t>
  </si>
  <si>
    <t>Brownsey, PJ (corresponding author), Museum New Zealand, POB 467, Wellington, New Zealand.</t>
  </si>
  <si>
    <t>10.1007/BF02812703</t>
  </si>
  <si>
    <t>WOS:000170220600005</t>
  </si>
  <si>
    <t>Adams, NK; de Silva, SL; Self, S; Salas, G; Schubring, S; Permenter, JL; Arbesman, K</t>
  </si>
  <si>
    <t>The physical volcanology of the 1600 eruption of Huaynaputina, southern Peru</t>
  </si>
  <si>
    <t>Huaynaputina; Peru; plinian eruption; stratigraphy; physical volcanology; vent evolution</t>
  </si>
  <si>
    <t>LARGEST EXPLOSIVE ERUPTION; HISTORICAL TIMES; VOLCANISM; EQUILIBRIA; NOVARUPTA; GENESIS; VOLUME; ANDES; AD</t>
  </si>
  <si>
    <t>Volcan Huaynaputina is a group of four vents located at 16 degrees 36'S, 70 degrees 51'W in southern Peru that produced one of the largest eruptions of historical times when similar to 11 km(3) of magma was erupted during the period 19 February to 6 March 1600. The main eruptive vents are located at 4200 m within an erosion-modified amphitheater of a significantly older stratovolcano. The eruption proceeded in three stages. Stage I was an similar to 20-h sustained plinian eruption on 19-20 February that produced an extensive dacite pumice fall deposit (magma volume similar to2.6 km(3)). Throughout medial-distal and distal parts of the dispersal area, a fine-grained plinian ashfall unit overlies the pumice fall deposit. This very widespread ash (magma volume similar to6.2 km(3)) has been recognized in Antarctic ice cores. A short period of quiescence allowed local erosion of the uppermost stage-I deposits and was followed by renewed but intermittent explosive activity between 22 and 26 February (stage II). This activity resulted in intercalated pyroclastic flow and pumice fall deposits (similar to1 km(3)). The flow deposits are valley confined, whereas associated co-ignimbrite ash fall is found overlying the plinian ash deposit. Following another period of quiescence, vulcanian-type explosions of stage III commenced on 28 February and produced crudely bedded ash, lapilli, and bombs of dense dacite (similar to1 km(3)). Activity ceased on 6 March. Compositions erupted are predominantly high-K dacites with a phenocryst assemblage of plagioclase &gt; hornblende &gt; biotite &gt; Fe-Ti oxides +/- apatite. Major elements are broadly similar in all three stages, but there are a few important differences. Stage-I pumice has less evolved glass compositions (similar to 73% SiO2), lower crystal contents (17-20%), lower density (1.0-1.3 g/cm(3)), and phase equilibria suggest higher temperature and volatile contents. Stage-II and stage-III juvenile clasts have more evolved glass (similar to 76% SiO2) compositions, higher crystal contents (25-35%), higher densities (up to 2.2 g/cm(3)), and lower temperature and volatile contents. All juvenile clasts show mineralogical evidence for thermal disequilibrium. Inflections on a plot of log thickness vs area(1/2) for the fall deposits suggest that the pumice fall and the plinian ash fall were dispersed under different conditions and may have been derived from different parts of the eruption column system. The ash appears to have been dispersed mainly from the uppermost parts of the umbrella cloud by upper-level winds, whereas the pumice fall may have been derived from the lower parts of the umbrella cloud and vertical part of the eruption column and transported by a lower-altitude wind field. Thickness half distances and clast half distances for the pumice fall deposit suggests a column neutral buoyancy height of 24-32 km and a total column height of 34-46 km. The estimated mass discharge rate for the similar to 20-h-long stage-I eruption is 2.4x10(8) kg/s and the volumetric discharge rate is similar to3.6x10(5) m(3)/s. The pumice fall deposit has a dispersal index (Hildreth and Drake 1992) of 4.4, and its index of fragmentation is at least 89%, reflecting the dominant volume of fines produced. Of the 11 km(3) total volume of dacite magma erupted in 1600, approximately 85% was evacuated during stage 1. The three main vents range in size from similar to 70 to similar to 400 m. Alignment of these rents and a late-stage dyke parallel to the NNW-SSE trend defined by older volcanics suggest that the eruption initiated along a fissure that developed along pre-existing weaknesses. During stage I this fissure evolved into large flared vent, vent 2. with a diameter of approximately 400 m. This vent was active throughout stage II, at the end of which a dome was emplaced within it. During star III this dome was eviscerated forming the youngest vent in the group, vent 3. A minor extra-amphitheater vent Lt as produced during the final event of the eruptive sequence. Recharge may have induced magma to rise away from a deep zone of magma generation and storage. Subsequently, vesiculation in the rising magma batch, possibly enhanced by interaction with an ancient hydrothermal system, triggered and fueled the sustained Plinian eruption of stage I. X lower volatile content in the stage-II and stage-III magma led to transitional column behavior and pyroclastic flow generation in stage II. Continued magma uprise led to emplacement of a dome which was subsequently destroyed during stags III. No caldera collapse occurred because no shallow magma chamber developed beneath this volcano.</t>
  </si>
  <si>
    <t>Indiana State Univ, Dept Geog Geol &amp; Anthropol, Terre Haute, IN 47809 USA; Univ Hawaii, Hawaii Ctr Volcanol, SOEST, Honolulu, HI 96822 USA; Univ San Augustin, Arequipa, Peru</t>
  </si>
  <si>
    <t>Indiana State University; University of Hawaii System</t>
  </si>
  <si>
    <t>Indiana State Univ, Dept Geog Geol &amp; Anthropol, Terre Haute, IN 47809 USA.</t>
  </si>
  <si>
    <t>gesilva@scifac.indstate.edu</t>
  </si>
  <si>
    <t>; de Silva, Shanaka/A-4630-2011</t>
  </si>
  <si>
    <t>Salas Alvarez, Guido Edgard/0000-0002-6561-4033; de Silva, Shanaka/0000-0002-0310-5516</t>
  </si>
  <si>
    <t>1432-0819</t>
  </si>
  <si>
    <t>10.1007/s004450000105</t>
  </si>
  <si>
    <t>429LV</t>
  </si>
  <si>
    <t>WOS:000168519400001</t>
  </si>
  <si>
    <t>Stroeven, P; Stroeven, AP; Dalhuisen, DH</t>
  </si>
  <si>
    <t>Image analysis of 'natural' concrete samples by automated and manual procedures</t>
  </si>
  <si>
    <t>CEMENT &amp; CONCRETE COMPOSITES</t>
  </si>
  <si>
    <t>'natural' concrete; tillite fabric; orientation analysis; line scanning; roses of intersections; tilt angle of clasts; Antarctica; Sirius Group</t>
  </si>
  <si>
    <t>PARTICLE</t>
  </si>
  <si>
    <t>Nature provide deposits with a structure and properties resembling those of man-made concrete. A tillite at Mt. Feather, McMurdo Dry Valleys, Transantarctic Mountains, Antarctica, is such a deposit. This ancient glacial deposit is of considerable importance to the early glacial history of the Antarctic Ice Sheet. The power of stereological analysis for an objective determination of the preferred direction of small clasts (less than or equal to5 mm) was investigated in sediment samples from this deposit. Orthogonal sets of vertical thin sections were therefore subjected to a directed secants analysis. The operations were executed in an automated set-up and manually. The roses of intersections were analysed for preferred orientation, the results of which were combined to yield the tilt angle of the clasts. The preferred orientation signal is weak. As a result, in the automated set-up this signal is camouflaged by the effect of digitisation, hampering the assessment of a reliable estimate for the preferred orientation. The manual procedure, although basically more time-consuming, is more accurate and should be preferred, especially in the case of weak signal characterisation, as met in the present situation. (C) 2001 Elsevier Science Ltd. All rights reserved.</t>
  </si>
  <si>
    <t>Delft Univ Technol, Fac Civil Engn &amp; Geosci, NL-2628 Delft, Netherlands; Univ Stockholm, Dept Quaternary Res, S-10691 Stockholm, Sweden</t>
  </si>
  <si>
    <t>Delft University of Technology; Stockholm University</t>
  </si>
  <si>
    <t>Stroeven, Arjen/I-7330-2013</t>
  </si>
  <si>
    <t>Stroeven, Arjen/0000-0001-8812-2253</t>
  </si>
  <si>
    <t>0958-9465</t>
  </si>
  <si>
    <t>CEMENT CONCRETE COMP</t>
  </si>
  <si>
    <t>Cem. Concr. Compos.</t>
  </si>
  <si>
    <t>10.1016/S0958-9465(00)00064-0</t>
  </si>
  <si>
    <t>Construction &amp; Building Technology; Materials Science, Composites</t>
  </si>
  <si>
    <t>Construction &amp; Building Technology; Materials Science</t>
  </si>
  <si>
    <t>423LB</t>
  </si>
  <si>
    <t>WOS:000168176800012</t>
  </si>
  <si>
    <t>Vimeux, F; Masson, V; Jouzel, J; Petit, JR; Steig, EJ; Stievenard, M; Vaikmae, R; White, JWC</t>
  </si>
  <si>
    <t>Holocene hydrological cycle changes in the Southern Hemisphere documented in East Antarctic deuterium excess records</t>
  </si>
  <si>
    <t>CLIMATE DYNAMICS</t>
  </si>
  <si>
    <t>ICE-CORE; CLIMATIC INTERPRETATION; LAST DEGLACIATION; STABLE-ISOTOPES; SURFACE SNOW; OCEAN; TEMPERATURE; ATLANTIC; SCALE; PRECIPITATION</t>
  </si>
  <si>
    <t>Four Holocene-long East Antarctic deuterium excess records are used to study past changes of the hydrological cycle in the Southern Hemisphere. We combine simple and complex isotopic models to quantify the relationships between Antarctic deuterium excess fluctuations and the sea surface temperature (SST) integrated over the moisture source areas for Antarctic snow. The common deuterium excess increasing trend during the first half of the Holocene is therefore interpreted in terms of a warming of the average ocean moisture source regions over this time. Available Southern Hemisphere SST records exhibit opposite trends at low latitudes (warming) and at high latitudes (cooling) during the Holocene. The agreement between the Antarctic deuterium excess and low-latitude SST trends supports the idea that the tropics dominate in providing moisture for Antarctic precipitation. The opposite trends in SSTs at low and high latitudes can potentially be explained by the decreasing obliquity during the Holocene inducing opposite trends in the local mean annual insolation between low and high latitudes. It also implies an increased latitudinal insolation gradient that in turn can maintain a stronger atmospheric circulation transporting more tropical moisture to Antarctica. This mechanism is supported by results from a mid-Holocene climate simulation performed using a coupled ocean-atmosphere model.</t>
  </si>
  <si>
    <t>CEA Saclay, UMR CNRS 1572, LSCE, F-91191 Gif Sur Yvette, France; LGGE, CNRS, F-38402 St Martin Dheres, France; Univ Penn, Dept Earth &amp; Environm Sci, Philadelphia, PA 19104 USA; Tallinn Univ Technol, Inst Geol, EE-10143 Tallinn, Estonia; Univ Colorado, INSTAAR, Boulder, CO 80309 USA</t>
  </si>
  <si>
    <t>Universite Paris Saclay; CEA; Centre National de la Recherche Scientifique (CNRS); Communaute Universite Grenoble Alpes; Universite Grenoble Alpes (UGA); Centre National de la Recherche Scientifique (CNRS); University of Pennsylvania; Tallinn University of Technology; University of Colorado System; University of Colorado Boulder</t>
  </si>
  <si>
    <t>CEA Saclay, UMR CNRS 1572, LSCE, F-91191 Gif Sur Yvette, France.</t>
  </si>
  <si>
    <t>Vaikmae, Rein/A-8509-2012; White, James W.C./A-7845-2009; Vaikmäe, Rein/H-2691-2019; Masson-Delmotte, Valerie L/G-1995-2011; /G-9088-2015</t>
  </si>
  <si>
    <t>Vaikmäe, Rein/0000-0002-9837-163X; Masson-Delmotte, Valerie L/0000-0001-8296-381X; /0000-0002-8191-5549</t>
  </si>
  <si>
    <t>0930-7575</t>
  </si>
  <si>
    <t>1432-0894</t>
  </si>
  <si>
    <t>CLIM DYNAM</t>
  </si>
  <si>
    <t>Clim. Dyn.</t>
  </si>
  <si>
    <t>10.1007/PL00007928</t>
  </si>
  <si>
    <t>427AZ</t>
  </si>
  <si>
    <t>WOS:000168383800002</t>
  </si>
  <si>
    <t>de Reviers, B</t>
  </si>
  <si>
    <t>A tribute to Rene Delepine on the occasion of his retirement</t>
  </si>
  <si>
    <t>CRYPTOGAMIE ALGOLOGIE</t>
  </si>
  <si>
    <t>French</t>
  </si>
  <si>
    <t>biographical sketch; effective publication dates; publication list; Rene Delepine</t>
  </si>
  <si>
    <t>The career of Rene Delepine is reviewed on the occasion of his retirement. When he was a student, a meeting with Jean Feldmann led to a lifelong inclination towards phycology. Eventually appointed to the position of assistant professor at the University of Paris-VI (University Pierre-et-Marie-Curie), Rene Delepine worked and published primarily on the taxonomy of antarctic and subantarctic marine algae but he was also interested in seaweed aquaculture and utilizations. After organizing the national collogue ValVA (Valorisation des vegetaux aquatiques), he became increasingly involved in the commercial application of seaweeds. His main activity, however, remained university teaching for which he was always enthusiastic, especially for teaching in the field and on the subject of the utilizations of algae. A list of his publications is given at the end of this article. (C) 2001 Adac/Editions scientifiques et medicales Elsevier SAS.</t>
  </si>
  <si>
    <t>Inst Systemat, Lab Cryptogamie, MNHN, UPMC,CNRS,FR 1541, F-75005 Paris, France</t>
  </si>
  <si>
    <t>Museum National d'Histoire Naturelle (MNHN); Centre National de la Recherche Scientifique (CNRS); Sorbonne Universite</t>
  </si>
  <si>
    <t>de Reviers, B (corresponding author), Inst Systemat, Lab Cryptogamie, MNHN, UPMC,CNRS,FR 1541, 12 Rue Buffon, F-75005 Paris, France.</t>
  </si>
  <si>
    <t>EDITIONS SCIENTIFIQUES MEDICALES ELSEVIER</t>
  </si>
  <si>
    <t>PARIS CEDEX 15</t>
  </si>
  <si>
    <t>23 RUE LINOIS, 75724 PARIS CEDEX 15, FRANCE</t>
  </si>
  <si>
    <t>0181-1568</t>
  </si>
  <si>
    <t>CRYPTOGAMIE ALGOL</t>
  </si>
  <si>
    <t>Cryptogam. Algol.</t>
  </si>
  <si>
    <t>10.1016/S0181-1568(01)01057-1</t>
  </si>
  <si>
    <t>445FK</t>
  </si>
  <si>
    <t>WOS:000169447300001</t>
  </si>
  <si>
    <t>Li, ZX; Powell, CM</t>
  </si>
  <si>
    <t>An outline of the palaeogeographic evolution of the Australasian region since the beginning of the Neoproterozoic</t>
  </si>
  <si>
    <t>Australasia; Gondwanaland; palaeogeography; Rodinia; Neoproterozoic</t>
  </si>
  <si>
    <t>SOUTH CHINA; PALEOMAGNETIC CONSTRAINTS; TECTONIC IMPLICATIONS; WESTERN-AUSTRALIA; UNITED-STATES; NORTH-AMERICA; NEW-ZEALAND; DYKE SWARM; U-PB; PROTEROZOIC STRATIGRAPHY</t>
  </si>
  <si>
    <t>In the last 1000 million years, Australia has been part of two supercontinents: Palaeozoic Gondwanaland and Neoproterozoic Rodinia. Neoproterozoic Australia was covered by shallow epicontinental seas, and, in the late Neoproterozoic, by low-latitude glaciers. The breakup of Rodinia along the Tasman Line occurred at the end of the Sturtian glaciation (760 Ma) giving rise to the Palaeo-Pacific Ocean. Gondwanaland formed in the Early Cambrian, at the same time as the Tarim block broke away from northwestern Australia. Westward subduction of the Palaeo-Pacific Ocean along the eastern margin of Australia-Antarctica commenced during the Early Cambrian in northern Victoria Land and in the Middle Cambrian in South Australia, and culminated to the Late Cambrian-Early Ordovician Ross-Delamerian Mountains. In the Ordovician, the magmatic are retreated from Australia's then-eastern continental margin, forming a marginal sea and offshore island are. A shallow seaway across Australia in the Late Cambrian and Ordovician gradually gave way to desert-like conditions in Central Australia and the adjacent Canning Basin by Silurian time. The Silurian to mid-Devonian was an interval of rapidly changing palaeogeography in eastern Australia with deep volcanogenic troughs formed in a dextral transtensional tectonic setting. Widespread deformation in the Tasman orogenic zone in the Middle Devonian to Early Carboniferous, was accompanied by the development of an Andean-style magmatic are along the Pacific continental margin of Australia. The most widespread Phanerozoic mountain-building stage in Central Australia occurred in the Late Devonian to mid-Carboniferous, as part of a world-wide Variscan orogenic episode associated with the collision of Gondwanaland with Laurussia to form Pangea. In the late Visean, Australia drifted rapidly southward from previous low latitudes to a near-polar position. Glacial conditions dominated the Late Carboniferous and earliest Permian. Transtensional basins associated with dextral oroclinal shear along the Panthalassan eastern margin of Australia developed in the Late Carboniferous and persisted until the Late Permian, when an Andean-style magmatic are was re-established. Large foreland basins inboard of the Late Permian to Early Triassic magmatic are accumulated major coal deposits during Late Permian volcanic phases, but drastic climatic changes at the end of the Permian, possibly caused by global greenhouse conditions, led to red-bed deposition in the Early Triassic. Pangea began to rift in the mid-Triassic, and by the Late Triassic, the Cimmerian blocks, which lay off northwestern Australia throughout the Palaeozoic, had departed the northern margin of Gondwanaland. A new Andean-style continental magmatic are became established along the Pacific Ocean margin of Australia. Breakup between Australia-Antarctica and the northern part of Greater India commenced ca. 130 Ma, and between Australia and Antarctica around 96 Ma. At the beginning of the Palaeogene, Australia commenced its northward drift towards its present position. Seafloor spreading between Australia and Antarctica was at first slow, but increased to ca. 5 cm per year around 45 Ma. By 35 Ma, the circum-Antarctic current became established, thereby triggering glaciation in Antarctica. Northern Australia reached the tropics by the beginning of the Miocene, and Australia has progressively moved northwards at 7 to 8 cm per year since. (C) 2001 Elsevier Science B.V. All rights reserved.</t>
  </si>
  <si>
    <t>Univ Western Australia, Dept Geol &amp; Geophys, Tecton Special Res Ctr, Perth, WA 6907, Australia</t>
  </si>
  <si>
    <t>University of Western Australia</t>
  </si>
  <si>
    <t>Li, ZX (corresponding author), Univ Western Australia, Dept Geol &amp; Geophys, Tecton Special Res Ctr, Perth, WA 6907, Australia.</t>
  </si>
  <si>
    <t>Li, Zheng-Xiang/B-8827-2008</t>
  </si>
  <si>
    <t>Li, Zheng-Xiang/0000-0003-4350-5976</t>
  </si>
  <si>
    <t>10.1016/S0012-8252(00)00021-0</t>
  </si>
  <si>
    <t>436RR</t>
  </si>
  <si>
    <t>WOS:000168949800003</t>
  </si>
  <si>
    <t>Ruhland, CT; Day, TA</t>
  </si>
  <si>
    <t>Size and longevity of seed banks in Antarctica and the influence of ultraviolet-B radiation on survivorship, growth and pigment concentrations of Colobanthus quitensis seedlings</t>
  </si>
  <si>
    <t>ENVIRONMENTAL AND EXPERIMENTAL BOTANY</t>
  </si>
  <si>
    <t>Antarctica; Colobanthus quitensis; Deschampsia antarctica; ozone depletion; seedlings; UV-B</t>
  </si>
  <si>
    <t>SOLAR UV-A; VASCULAR PLANTS; DESCHAMPSIA-ANTARCTICA; LEAF DEVELOPMENT; AMBIENT LEVELS; PISUM-SATIVUM; PHOTOSYNTHESIS; POPULATION; PENINSULA; LIGHT</t>
  </si>
  <si>
    <t>Populations of Colobanthus quitensis and Deschampsia antarctica, the only two vascular plant species native to Antarctica, are increasing. We performed a seed bank assay to determine the persistence of seeds from intact vegetation/soil cores collected near Palmer Station on the west coast of the Antarctic Peninsula. Vegetation/soil cores were cold stratified at 3 degreesC for &gt;4 years. Subsequent seed bank densities, estimated from seedlings germinated, averaged 847 and 5645 seedlings m(-2) for C. quitensis and D. antarctica. respectively. We also conducted germination trials on C. quitensis seeds collected at our field site and stored for either 120 days or &gt;4 years at 3 degreesC. Germination rates ranged from 6% after 120 days of cold storage to 38% after &gt;4 years of cold storage. These findings show that previous estimates of seed bank densities and germination rates in these species. based on short-term laboratory stratification experiments. may underestimate there found in the field. Stratospheric ozone depletion has lead to increases in ultraviolet-B radiation (UV-B, 280-320 nm) along the Antarctic Peninsula during the austral spring. In a separate experiment we manipulated levels of biologically effective UV-B (UV-B-BE), over current-year C. quitensis seedlings near Palmer Station on the west coast of the Antarctic Peninsula by placing frames over them that either held filters that absorbed most UV-B-BE ('reduced UV-B-BE'). transmitted most UV-B-BE ('near-ambient UV-B-BE') or had no filters ('ambient UV-B-BE). We monitored seedling survivorship over the course of the growing season (January-March) and growth acid pigment concentrations at the end of the season. There were no UV-B,, treatment effects on seedling survivorship oc er the course of the season and overwinter survivorship averaged 12%. However, seedlings growing under near-ambient and ambient UV-B-BE had 25 and 48% smaller total leaf areas, 7 and 16% fewer leaves and 65 and 82% fewer branches, respectively, than those growing under reduced UV-B-BE. In addition, concentrations of methanol-soluble UV-B-absorbing compounds were 26% higher and concentrations of chlorophyll b were 26% lower in leaves of seedlings growing under ambient UV-B-BE compared with those under reduced UV-B-BE. (C) 2001 Elsevier Science B.V. All rights reserved.</t>
  </si>
  <si>
    <t>Ruhland, CT (corresponding author), Arizona State Univ, Dept Plant Biol, Box 871601, Tempe, AZ 85287 USA.</t>
  </si>
  <si>
    <t>0098-8472</t>
  </si>
  <si>
    <t>ENVIRON EXP BOT</t>
  </si>
  <si>
    <t>Environ. Exp. Bot.</t>
  </si>
  <si>
    <t>10.1016/S0098-8472(00)00089-7</t>
  </si>
  <si>
    <t>Plant Sciences; Environmental Sciences</t>
  </si>
  <si>
    <t>Plant Sciences; Environmental Sciences &amp; Ecology</t>
  </si>
  <si>
    <t>413EV</t>
  </si>
  <si>
    <t>WOS:000167597700004</t>
  </si>
  <si>
    <t>Bendt, A; Hüller, H; Kammel, U; Helmke, E; Schweder, T</t>
  </si>
  <si>
    <t>Cloning, expression, and characterization of a chitinase gene from the Antarctic psychrotolerant bacterium Vibrio sp strain Fi:7</t>
  </si>
  <si>
    <t>chitinase; cold adapted; marine bacterium; psychrotolerant; Vibrio sp</t>
  </si>
  <si>
    <t>MARINE BACTERIUM; PURIFICATION; TEMPERATURE; PROTEINS; DOMAIN</t>
  </si>
  <si>
    <t>A marine psychrotolerant bacterium from the Antarctic Ocean showing high chitinolytic activity on chitin agar at 5 degreesC was isolated. The sequencing of the 16S rRNA indicates taxonomic affiliation of the isolate Fi:7 to the genus Vibrio. By chitinase activity screening of a genomic DNA library of Vibrio sp. strain Fi:7 in Escherichia coli, three chitinolytic clones could be isolated. Sequencing revealed, for two of these clones, the same open reading frame of 2.189 nt corresponding to a protein of 79.4 kDa. The deduced amino acid sequence of the open reading frame showed homology of 82% to the chitinase ChiA from Vibrio harveyi. The chitinase of isolate Fi:7 contains a signal peptide of 26 amino acids. Sequence alignment with known chitinases showed that the enzyme has a chitin-binding domain and a catalytic domain typical of other bacterial chitinases. The chitinase ChiA of isolate Fi:7 was overexpressed in E. coli BL21(DE3) and purified by anion-exchange and hydrophobic interaction chromatography. Maximal enzymatic activity was observed at a temperature of 35 degreesC and pH 8. Activity of the chitinase at 5 degreesC was 40% of that observed at 35 degreesC. Among the main cations contained in seawater, i.e., Na+, K+, Ca2+, and Mg2+, the enzymatic activity of ChiA could be enhanced twofold by the addition of Ca2+.</t>
  </si>
  <si>
    <t>Inst Marine Biotechnol, D-17489 Greifswald, Germany; Alfred Wegener Inst Polar &amp; Marine Res, D-2850 Bremerhaven, Germany</t>
  </si>
  <si>
    <t>Schweder, T (corresponding author), Inst Marine Biotechnol, W Rathenau Str 49A, D-17489 Greifswald, Germany.</t>
  </si>
  <si>
    <t>Schweder, Thomas/GQB-0990-2022</t>
  </si>
  <si>
    <t>Schweder, Thomas/0000-0002-7213-3596</t>
  </si>
  <si>
    <t>10.1007/s007920100179</t>
  </si>
  <si>
    <t>429EF</t>
  </si>
  <si>
    <t>WOS:000168502500006</t>
  </si>
  <si>
    <t>Hooker, SK; Baird, RW; Al-Omari, S; Gowans, S; Whitehead, H</t>
  </si>
  <si>
    <t>Behavioral reactions of northern bottlenose whales (Hyperoodon ampullatus) to biopsy darting and tag attachment procedures</t>
  </si>
  <si>
    <t>FISHERY BULLETIN</t>
  </si>
  <si>
    <t>SUCTION-CUP TAG; HUMPBACK WHALES; MEGAPTERA-NOVAEANGLIAE; NOSED DOLPHINS; MOVEMENTS; SYSTEM</t>
  </si>
  <si>
    <t>The effects of invasive or intrusive research techniques need to be thoroughly documented in order to satisfy appropriate standards of animal care. How cetaceans react to either biopsy darting ol tag attachment procedures has been studied for several species, and considerable interspecific variability in responses has been demonstrated: however; few studies have compared reactions to both techniques. In the family Ziphiidae (the beaked whales) nothing has been previously reported on responses to either technique. We examined and compared the reactions of northern bottlenose whales (Hyperoodon ampullatus) to biopsy darting and tagging. Reactions to both these procedures were generally low-level and short-lived; stronger responses were given to hits than to misses. There was no statistical difference in observed response to tag versus biopsy hits. The prior behavioral state of the whales appealed to influence the magnitude of reaction to both hits and misses and thus may be an important Factor to consider in such impact assessment. Whales lying still at the surface showed stronger reactions than traveling or milling animals. Sea state appeared to affect whether there was a reaction to misses, Whales were more likely to respond to a miss in calm sea conditions. No avoidance of the research vessel was observed following a tag or biopsy attempt, and in moat cases whales approached the research vessel again within several minutes.</t>
  </si>
  <si>
    <t>Dalhousie Univ, Dept Biol, Halifax, NS B3H 4J1, Canada</t>
  </si>
  <si>
    <t>Dalhousie University</t>
  </si>
  <si>
    <t>Hooker, SK (corresponding author), British Antarctic Survey, High Cross,Madingley Rd, Cambridge CB3 0ET, England.</t>
  </si>
  <si>
    <t>Hooker, Sascha K/J-3267-2013; Al-Omari, Shrideh Khalf/E-5065-2017; Baird, Robin William/Y-8230-2019</t>
  </si>
  <si>
    <t>Al-Omari, Shrideh Khalf/0000-0001-8955-5552; Baird, Robin William/0000-0002-9419-6336; Hooker, Sascha/0000-0002-7518-3548</t>
  </si>
  <si>
    <t>NATL MARINE FISHERIES SERVICE SCIENTIFIC PUBL OFFICE</t>
  </si>
  <si>
    <t>SEATTLE</t>
  </si>
  <si>
    <t>7600 SAND POINT WAY NE BIN C15700, SEATTLE, WA 98115 USA</t>
  </si>
  <si>
    <t>0090-0656</t>
  </si>
  <si>
    <t>FISH B-NOAA</t>
  </si>
  <si>
    <t>Fish. Bull.</t>
  </si>
  <si>
    <t>429ET</t>
  </si>
  <si>
    <t>WOS:000168503600008</t>
  </si>
  <si>
    <t>Shaffer, SA; Weimerskirch, H; Costa, DP</t>
  </si>
  <si>
    <t>Functional significance of sexual dimorphism in Wandering Albatrosses, Diomedea exulans</t>
  </si>
  <si>
    <t>Crozet; flight performance; morphometrics; sex differences in foraging</t>
  </si>
  <si>
    <t>SIZE DIMORPHISM; BREEDING-SEASON; FLIGHT; PATTERNS; GROWTH; BIRDS</t>
  </si>
  <si>
    <t>1. The investigation covered whether sexual dimorphism could affect flight performance in a manner that is consistent with differences in at-sea distribution of male and female Wandering Albatrosses, Diomedea exulans Linnaeus. Adult morphology was also compared to near-fledged chicks to assess whether morphological differences are consistent with different at-sea distributions of adults and fledglings. 2. Body girth, mass, wing span and area were measured on 24 females (16 adults and 8 chicks) and 32 males (20 adults and 12 chicks) breeding in the Crozet Archipelago. 3. On average, adult males had longer wings (4%, 311 +/- 4 cm) with 6.8% more area (6260 +/- 270 cm(2)), but were also 20.4% heavier (9.44 +/- 0.59 kg) than adult females. As a result, wing loading in adult males was 12.1% greater than adult females. 4. When compared with adults, total wing area of chicks was lower resulting in higher wing loading because of the incomplete growth of chicks at the time measurements were collected. However, projected chick growth to fledging indicates that wing loading would be lower in fledglings than adults. 5. Because wing loading determines flight speed, it is conceivable that windier regions of the sub-Antarctic/Antarctic are more optimal for male albatrosses because they have higher wing loading. Conversely, wing loading is lower in adult females and fledglings, which could make them better adapted to exploit lighter winds of the subtropical and tropical regions. Thus, size dimorphism may have a functional role in flight performance that influences the at-sea distribution of adult and fledgling Wandering Albatrosses.</t>
  </si>
  <si>
    <t>Univ Calif Santa Cruz, Dept Ecol &amp; Evolutionary Biol, Santa Cruz, CA 95064 USA; CNRS, Ctr Etud Biol Chize, F-79360 Villiers en Bois, France</t>
  </si>
  <si>
    <t>University of California System; University of California Santa Cruz; Centre National de la Recherche Scientifique (CNRS)</t>
  </si>
  <si>
    <t>Univ Calif Santa Cruz, Dept Ecol &amp; Evolutionary Biol, Santa Cruz, CA 95064 USA.</t>
  </si>
  <si>
    <t>Weimerskirch, Henri/F-5562-2013; Weimerskirch, Henri/K-7306-2019; Shaffer, Scott/D-5015-2009; Costa, Daniel Paul/E-2616-2013</t>
  </si>
  <si>
    <t>Weimerskirch, Henri/0000-0002-0457-586X; Shaffer, Scott/0000-0002-7751-5059; Costa, Daniel Paul/0000-0002-0233-5782</t>
  </si>
  <si>
    <t>1365-2435</t>
  </si>
  <si>
    <t>10.1046/j.1365-2435.2001.00514.x</t>
  </si>
  <si>
    <t>425DU</t>
  </si>
  <si>
    <t>WOS:000168273700006</t>
  </si>
  <si>
    <t>Kaplan, MR; Miller, GH; Steig, EJ</t>
  </si>
  <si>
    <t>Low-gradient outlet glaciers lice streams?) drained the Laurentide ice sheet</t>
  </si>
  <si>
    <t>Baffin Island; exposure age; Laurentide ice sheet; ice streams; glacial geology; last glacial maximum</t>
  </si>
  <si>
    <t>EASTERN BAFFIN-ISLAND; CUMBERLAND SOUND; ARCTIC CANADA; HISTORY; SURFACES</t>
  </si>
  <si>
    <t>Observations of geomorphic features dated with cosmogenic nuclides are used to determine the configuration of glaciation in Cumberland Sound, Baffin Island, during the last glacial maximum. Cumberland Sound, which was a major drainage of the Laurentide Ice Sheet at its northeastern (Arctic Canada) margin, contained low-gradient ice with a surface slope of similar to0.03 degrees and a driving stress between 2 and 7 kPa. These values are similar to those observed for the ice streams that dominate the dynamics of the West Antarctic ice sheet today. The presence of low-gradient ice in Cumberland Sound and other major outlets may similarly have influenced Laurentide ice sheet behavior and would account for the iceberg discharge episodes that produced the Heinrich-event debris layers observed in North Atlantic ocean sediments.</t>
  </si>
  <si>
    <t>Univ Colorado, Inst Arctic &amp; Alpine Res, Boulder, CO 80309 USA; Univ Colorado, Dept Geol Sci, Boulder, CO 80309 USA; Univ Washington, Quaternary Res Ctr, Seattle, WA 98195 USA</t>
  </si>
  <si>
    <t>University of Colorado System; University of Colorado Boulder; University of Colorado System; University of Colorado Boulder; University of Washington; University of Washington Seattle</t>
  </si>
  <si>
    <t>Kaplan, MR (corresponding author), Univ Wisconsin, Dept Geol &amp; Geophys, 1215 W Dayton St, Madison, WI 53706 USA.</t>
  </si>
  <si>
    <t>Kaplan, Michael R/D-4720-2011; Steig, Eric J/G-9088-2015</t>
  </si>
  <si>
    <t>10.1130/0091-7613(2001)029&lt;0343:LGOGIS&gt;2.0.CO;2</t>
  </si>
  <si>
    <t>414YP</t>
  </si>
  <si>
    <t>WOS:000167694000014</t>
  </si>
  <si>
    <t>Rousseaux, MC; Scopel, AL; Searles, PS; Caldwell, MM; Sala, OE; Ballaré, CL</t>
  </si>
  <si>
    <t>Responses to solar ultraviolet-B radiation in a shrub-dominated natural ecosystem of Tierra del Fuego (southern Argentina)</t>
  </si>
  <si>
    <t>GLOBAL CHANGE BIOLOGY</t>
  </si>
  <si>
    <t>Blechnum penna-marina; Chiliotrichum diffussum; Gunnera magellanica; herbivory; ozone hole; UV-B</t>
  </si>
  <si>
    <t>UV-B; FIELD CONDITIONS; TOTAL OZONE; DNA-DAMAGE; GROWTH; ANTHOCYANIN; MUTANTS; INSECTS; PLANTS; IMPACT</t>
  </si>
  <si>
    <t>A study was made of the effects of solar ultraviolet-B radiation (UV-B) on the growth of the dominant plant species of a shrub-dominated ecosystem in Tierra del Fuego. This part of southern Argentina can be under the direct influence of the Antarctic 'ozone hole' during the austral spring and lingering ozone-depleted air during the summer. The plant community is dominated by an evergreen shrub (Chiliotrichum diffusum) with an herbaceous layer of Gunnera magellanica and Blechnum penna-marina in the interspaces between the shrubs. Inspections of ozone trends indicate that the springtime and summertime ozone column over Tierra del Fuego has decreased by 10-13% from 1978/9 to 1998/9. In a set of well-replicated field plots, solar UV-B was reduced to approximately 15-20% of the ambient UV-B using plastic films. Polyester films were used to attenuate UV-B radiation and UV-transparent films (similar to 90% UV-B transmission) were used as control. Treatments were imposed during the growing season beginning in 1996 and continued for three complete growing seasons. Stem elongation of the shrub C. diffusum was not affected by UV-B attenuation in any of the three seasons studied. However, frond length of B. penna-marina under attenuated UV-B was significantly greater than that under near-ambient UV-B in all three seasons. Attenuation of solar UV-B also promoted the expansion of G. magellanica leaves in two of the growing seasons. Differences between treatments in leaf or frond length in B. penna-marina and G. magellanica did not exceed 12%. Another significant effect of UV-B attenuation was a promotion of insect herbivory in G. magellanica, with a 25-75% increase in the leaf area consumed. Changes in plant phenology or relative species cover were not detected within the time frame of this study. The results suggest that the increase in UV-B radiation associated with the erosion of the ozone layer might be affecting the functioning of this ecosystem to some degree, particularly by inhibiting the growth of some plant species and by altering plant-insect interactions.</t>
  </si>
  <si>
    <t>Consejo Nacl Invest Cient &amp; Tecn, IFEVA, Buenos Aires, DF, Argentina; Univ Buenos Aires, Buenos Aires, DF, Argentina; Utah State Univ, Dept Rangeland Resources, Logan, UT 84322 USA; Utah State Univ, Ctr Ecol, Logan, UT 84322 USA</t>
  </si>
  <si>
    <t>University of Buenos Aires; Consejo Nacional de Investigaciones Cientificas y Tecnicas (CONICET); University of Buenos Aires; Utah System of Higher Education; Utah State University; Utah System of Higher Education; Utah State University</t>
  </si>
  <si>
    <t>ballare@ifeva.edu.ar</t>
  </si>
  <si>
    <t>; Ballare, Carlos/F-5141-2011</t>
  </si>
  <si>
    <t>Searles, Peter/0000-0002-2867-5881; Sala, Osvaldo/0000-0003-0142-9450; Rousseaux, Maria Cecilia/0000-0001-8761-8839; Ballare, Carlos/0000-0001-9129-4531</t>
  </si>
  <si>
    <t>1354-1013</t>
  </si>
  <si>
    <t>1365-2486</t>
  </si>
  <si>
    <t>GLOBAL CHANGE BIOL</t>
  </si>
  <si>
    <t>Glob. Change Biol.</t>
  </si>
  <si>
    <t>10.1046/j.1365-2486.2001.00413.x</t>
  </si>
  <si>
    <t>438ZT</t>
  </si>
  <si>
    <t>WOS:000169084700010</t>
  </si>
  <si>
    <t>Newsham, KK; Anderson, JM; Sparks, TH; Splatt, P; Woods, C; McLeod, AR</t>
  </si>
  <si>
    <t>UV-B effect on Quercus robur leaf litter decomposition persists over four years</t>
  </si>
  <si>
    <t>decomposition; Quercus robur leaf litter; stratospheric ozone depletion; UV-B radiation</t>
  </si>
  <si>
    <t>RADIATION; QUALITY; LEAVES</t>
  </si>
  <si>
    <t>The effects of elevated UV-B (280-315 nm) radiation on the long-term decomposition of Quercus robur leaf litter were assessed at an outdoor facility in the UK by exposing saplings to elevated UV-B radiation (corresponding to a 30% increase above the ambient level of erythemally weighted UV-B, equivalent to that resulting from a c. 18% reduction in ozone column) under arrays of cellulose diacetate-filtered fluorescent UVB lamps that also produced UV-A radiation (315-400 nm). Saplings were also exposed to elevated UV-A radiation alone under arrays of polyester-filtered fluorescent lamps and to ambient solar radiation under arrays of nonenergized lamps. After 8 months of irradiation, abscised leaves were placed into litter bags and allowed to decompose in the litter layer of a mixed deciduous woodland for 4.08 years. The dry weight loss of leaf litter from saplings irradiated with elevated UV-B and UV-A radiation during growth was 17% greater than that of leaf litter irradiated with elevated UV-A radiation alone. Annual fractional weight loss of litter (k), and the estimated time taken for 95% of material to decay (3/k) were respectively increased and decreased by 27% for leaf litter exposed during growth to elevated UV-B and UV-A radiation, relative to that exposed to UV-A alone. The present data corroborate those from a previous study indicating that UV-B radiation applied during growth accelerates the subsequent decomposition of Q. robur leaf litter in soil, but indicate that this effect persists for over four years after abscission.</t>
  </si>
  <si>
    <t>Ctr Ecol &amp; Hydrol, Huntingdon PE17 2LS, Cambs, England; Univ Exeter, Dept Biol Sci, Hatherly Labs, Exeter EX4 4PS, Devon, England; CEH Merlewood, Grange Sands LA11 6JU, Cumbria, England</t>
  </si>
  <si>
    <t>UK Centre for Ecology &amp; Hydrology (UKCEH); University of Exeter; UK Centre for Ecology &amp; Hydrology (UKCEH)</t>
  </si>
  <si>
    <t>Newsham, KK (corresponding author), British Antarctic Survey, High Cross,Madingley Rd, Cambridge CB3 0ET, England.</t>
  </si>
  <si>
    <t>Newsham, Kevin K/C-4192-2011</t>
  </si>
  <si>
    <t>10.1046/j.1365-2486.2001.00423.x</t>
  </si>
  <si>
    <t>WOS:000169084700011</t>
  </si>
  <si>
    <t>Jacobs, J</t>
  </si>
  <si>
    <t>The East Antarctic Orogen: Southern continuation of the East African orogen into Antarctica</t>
  </si>
  <si>
    <t>GONDWANA RESEARCH</t>
  </si>
  <si>
    <t>Univ Bremen, D-28334 Bremen, Germany</t>
  </si>
  <si>
    <t>Jacobs, J (corresponding author), Univ Bremen, PF 330440, D-28334 Bremen, Germany.</t>
  </si>
  <si>
    <t>INT ASSOC GONDWANA RESEARCH</t>
  </si>
  <si>
    <t>OSAKA</t>
  </si>
  <si>
    <t>OSAKA CITY UNIV, DEPT GEOSCIENCES, FACULTY SCIENCE, OSAKA, 558, JAPAN</t>
  </si>
  <si>
    <t>1342-937X</t>
  </si>
  <si>
    <t>GONDWANA RES</t>
  </si>
  <si>
    <t>Gondwana Res.</t>
  </si>
  <si>
    <t>10.1016/S1342-937X(05)70682-1</t>
  </si>
  <si>
    <t>414EQ</t>
  </si>
  <si>
    <t>WOS:000167653400021</t>
  </si>
  <si>
    <t>Thomas, RJ; Jacobs, J</t>
  </si>
  <si>
    <t>Polyphase tectonic events revealed by titanite fission dating in SE Africa and positioning the western front of the East Antarctic Orogen</t>
  </si>
  <si>
    <t>KAAPVAAL CRATON</t>
  </si>
  <si>
    <t>Council Geosci, ZA-7535 Bellville, South Africa; FB Geowissensch, D-28334 Bremen, Germany</t>
  </si>
  <si>
    <t>Thomas, RJ (corresponding author), Council Geosci, POB 572, ZA-7535 Bellville, South Africa.</t>
  </si>
  <si>
    <t>10.1016/S1342-937X(05)70693-6</t>
  </si>
  <si>
    <t>WOS:000167653400032</t>
  </si>
  <si>
    <t>Maas, A; Waloszek, D</t>
  </si>
  <si>
    <t>Larval development of Euphausia superba Dana, 1852 and a phylogenetic analysis of the Euphausiacea</t>
  </si>
  <si>
    <t>morphology; ontogeny; appendages; thelycum; photophores; autapomorphy; ground pattern</t>
  </si>
  <si>
    <t>CRUSTACEA; MAXILLOPODA; THECOSTRACA; DECAPODA</t>
  </si>
  <si>
    <t>Literature data and new investigations by SEM of selected ontogenetic stages of the Antarctic Krill, Euphausia superba Dana, 1852 revealed morphological characters that are either missing in, or significantly changed towards, the adult. Besides adult features, such ontogenetic characters enabled us to propose a hypothesis of the phylogenetic relationships of and within the Euphausiacea on the basis of a computer aided cladistic analysis. These are of the form (Bentheuphausia amblyops + Euphausiidae = (' Thysanopoda' + Nematobrachion + Euphausiinae = (Meganyctiphanes norvegica + Euphausiini, new name + Nematoscelini, new name = ( Nyctiphanes + Nematoscelina, new name)))). From this analysis the taxon names 'Euphausiina', 'Nematoscelini', and 'Nematoscelina' are introduced for in-groups of the taxon Euphausiacea as representing monophyletic units. The position of a set of ontogenetic characters remains relatively uncertain due to the still unknown larval development of Bentheuphausia amblyops (G. O. Sars, 1883).</t>
  </si>
  <si>
    <t>Univ Ulm, Sect Biosystemat Documentat, D-89081 Ulm, Germany</t>
  </si>
  <si>
    <t>Ulm University</t>
  </si>
  <si>
    <t>Maas, A (corresponding author), Univ Ulm, Sect Biosystemat Documentat, Helmholtzstr 20, D-89081 Ulm, Germany.</t>
  </si>
  <si>
    <t>10.1023/A:1017549321961</t>
  </si>
  <si>
    <t>452NA</t>
  </si>
  <si>
    <t>WOS:000169863400014</t>
  </si>
  <si>
    <t>Carey, PG; Sargent, AJ; Taberner, AM; Ramón, G; Moyà, G</t>
  </si>
  <si>
    <t>Ecology of cavernicolous ciliates from the anchihaline lagoons of Mallorca</t>
  </si>
  <si>
    <t>ciliates; marine; caves; anchihaline; ecology</t>
  </si>
  <si>
    <t>NOV-SPEC CILIOPHORA; ANTARCTIC SEA-ICE; MARINE CAVES; N-SP; HYPOTRICHIDA; PROTOZOA; MORPHOGENESIS; MORPHOLOGY; BERMUDA; FAUNA</t>
  </si>
  <si>
    <t>On the island of Mallorca, anchihaline lagoons, meromictic in character, are common in the flooded coastal karst. These subterranean lagoons, containing important populations of crustacea, maintain a connection, albeit tenuous, to the sea. Thus, the first truly quantitative study of marine ciliates inhabiting anchihaline lagoons was undertaken between April 1996 and April 1997. Physical and chemical measurements were taken in-situ, together with water samples for faunal analysis in each of four stratified lakes. These lagoons typically displayed a temperature inversion, an increase in conductivity and a decrease in dissolved oxygen concentration with depth. Ciliates were present in all lagoons studied, with a total of nine species recorded. All were assigned to known taxa. Spatial distribution of the trophic cells was noteworthy with populations clearly stratified within the water column, most being found at the waters surface, sometimes in association with rafts of floating calcite crystals, or in the sediment. Only on one occasion were ciliates recorded in mid-water. Abundance was very low, typically &lt;1 ciliate cm(-3). The floating calcite crystals may form a delimitable biotope for ciliate populations. The role of the cyst in maintaining populations of ciliates in these cave waters is discussed.</t>
  </si>
  <si>
    <t>Univ Derby, Sch Environm &amp; Appl Sci, Div Biol, Derby DE22 1GB, England; Univ Illes Balears, Dept Biol, Palma de Mallorca 07071, Spain</t>
  </si>
  <si>
    <t>University of Derby; Universitat de les Illes Balears</t>
  </si>
  <si>
    <t>Carey, PG (corresponding author), Univ Derby, Sch Environm &amp; Appl Sci, Div Biol, Kedleston Rd, Derby DE22 1GB, England.</t>
  </si>
  <si>
    <t>Moyà Niell, Gabriel/H-9803-2015</t>
  </si>
  <si>
    <t>Moyà Niell, Gabriel/0000-0001-6699-3912</t>
  </si>
  <si>
    <t>10.1023/A:1017509623778</t>
  </si>
  <si>
    <t>WOS:000169863400017</t>
  </si>
  <si>
    <t>Kelp Gulls avoid siphonariid limpets because of repugnant mucus</t>
  </si>
  <si>
    <t>IBIS</t>
  </si>
  <si>
    <t>KING-GEORGE-ISLAND; ANTARCTIC LIMPET; SOUTH GEORGIA; HUSVIK</t>
  </si>
  <si>
    <t>Natl Univ Ireland Univ Coll Cork, Dept Zool &amp; Anim Ecol, Cork, Ireland</t>
  </si>
  <si>
    <t>Davenport, J (corresponding author), Natl Univ Ireland Univ Coll Cork, Dept Zool &amp; Anim Ecol, Lee Maltings,Prospect Row, Cork, Ireland.</t>
  </si>
  <si>
    <t>Natural Environment Research Council [bas010008] Funding Source: researchfish; NERC [bas010008] Funding Source: UKRI</t>
  </si>
  <si>
    <t>BRITISH ORNITHOLOGISTS UNION</t>
  </si>
  <si>
    <t>TRING</t>
  </si>
  <si>
    <t>C/O NATURAL HISTORY MUSEUM, SUB-DEPT ORNITHOLOGY, TRING, HERTS, ENGLAND HP23 6AP</t>
  </si>
  <si>
    <t>0019-1019</t>
  </si>
  <si>
    <t>Ibis</t>
  </si>
  <si>
    <t>10.1111/j.1474-919X.2001.tb04488.x</t>
  </si>
  <si>
    <t>412VL</t>
  </si>
  <si>
    <t>WOS:000167575000014</t>
  </si>
  <si>
    <t>Cox, CB</t>
  </si>
  <si>
    <t>The biogeographic regions reconsidered</t>
  </si>
  <si>
    <t>JOURNAL OF BIOGEOGRAPHY</t>
  </si>
  <si>
    <t>plant biogeography; zoogeography; historical biogeography</t>
  </si>
  <si>
    <t>DISTRIBUTIONS; FLORA</t>
  </si>
  <si>
    <t>Aim To evaluate the internal consistency and appropriateness of Takhtaian's system of world-wide floral Kingdoms in the light of modern knowledge, and similarly to re-examine the Wallacean system of mammal biogeographic regions. Main conclusions It is suggested that Takhtajan's Cape and Antarctic floral Kingdoms should be deleted, and their constituent parts allocated to the neighbouring Kingdoms. The mammal biogeographic regions are to be restricted to the continents, as defined by the edges of the continental shelves, and the name 'Wallacea' is accepted for the area between the Southeast Asian and Australian continental shelves. Modifications are suggested for the names of some of the floral Kingdoms and mammal biogeographic regions.</t>
  </si>
  <si>
    <t>Kings Coll London, London WC2R 2LS, England</t>
  </si>
  <si>
    <t>Forge Cottage,Blacksmith Close, Surrey KT21 2BD, England.</t>
  </si>
  <si>
    <t>barry_cox@talk21.com</t>
  </si>
  <si>
    <t>0305-0270</t>
  </si>
  <si>
    <t>1365-2699</t>
  </si>
  <si>
    <t>J BIOGEOGR</t>
  </si>
  <si>
    <t>J. Biogeogr.</t>
  </si>
  <si>
    <t>Ecology; Geography, Physical</t>
  </si>
  <si>
    <t>455AX</t>
  </si>
  <si>
    <t>WOS:000170006300008</t>
  </si>
  <si>
    <t>Hassi, J; Sikkilä, K; Ruokonen, A; Leppäluoto, J</t>
  </si>
  <si>
    <t>The pituitary-thyroid axis in healthy men living under subarctic climatological conditions</t>
  </si>
  <si>
    <t>JOURNAL OF ENDOCRINOLOGY</t>
  </si>
  <si>
    <t>PROLONGED ANTARCTIC RESIDENCE; THYROTROPIN-RELEASING-HORMONE; SEASONAL-VARIATION; SERUM THYROTROPIN; THYROXINE; RHYTHM; T3</t>
  </si>
  <si>
    <t>In order to evaluate the effects of climatic factors on the secretion of thyroid hormones and TSH in a high latitude population, we have taken serum and urine samples From 20 healthy men from northern Finland (67 degrees -68 degrees N) every 2 months for a period of 14 months. Serum free triiodothyronine (T-3) levels were lower in February than in August (3.9 vs 4.4 pmol/l, P&lt;0.05) and TSH levels were higher in December than during other months (2.1 vs 1.5-1.7 mU/l, P&lt;0.01). Serum total and free thyroxine (T-4), total T-3 and reverse T-3 levels and urinary T-4 levels were unchanged. Urinary T-3 levels were significantly higher in winter than in summer. Serum free T-3 correlated highly significantly with the outdoor temperature integrated backwards weekly for 7-56 days (r=0.26 for 1-56 days) from the day when the blood samples were taken. Serum TSH did not show any significant correlation with the thyroid hormones or with the integrated temperature of the previous days, but it did show an inverse and significant correlation (r= -0.31) with the ambient luminosity integrated backwards for 7 days front the day when the blood sample was taken. The gradually increasing correlation between outdoor temperatures and serum free T-3 suggests that the disposal of thyroid hormones is accelerated in winter, leading to low serum bet T-3 levels and a high urinary free T-3 excretion. Since there was no correlation between thyroid hormones and serum TSH, the feedback mechanism between TSH and thyroid hormones may not be the only contributing factor, and other factors such as ambient luminosity may at least partly determine serum TSH in these conditions. Also urinary free T3 appears to be a novel and non-invasive indicator for thyroid physiology.</t>
  </si>
  <si>
    <t>Univ Oulu, Dept Physiol, Oulun Yliopisto, Finland; Univ Oulu, Inst Arctic Med, Oulun Yliopisto, Finland; Oulu Reg Inst Occupat Hlth, Oulu, Finland; Oulu Univ Hosp, Dept Clin Chem, Oulu, Finland</t>
  </si>
  <si>
    <t>University of Oulu; University of Oulu; University of Oulu</t>
  </si>
  <si>
    <t>Leppäluoto, J (corresponding author), Univ Oulu, Dept Physiol, POB 5000, Oulun Yliopisto, Finland.</t>
  </si>
  <si>
    <t>SOC ENDOCRINOLOGY</t>
  </si>
  <si>
    <t>17/18 THE COURTYARD, WOODLANDS, BRADLEY STOKE, BRISTOL BS32 4NQ, ENGLAND</t>
  </si>
  <si>
    <t>0022-0795</t>
  </si>
  <si>
    <t>J ENDOCRINOL</t>
  </si>
  <si>
    <t>J. Endocrinol.</t>
  </si>
  <si>
    <t>10.1677/joe.0.1690195</t>
  </si>
  <si>
    <t>Endocrinology &amp; Metabolism</t>
  </si>
  <si>
    <t>416JW</t>
  </si>
  <si>
    <t>WOS:000167778100021</t>
  </si>
  <si>
    <t>Ressel, SJ</t>
  </si>
  <si>
    <t>Ultrastructural design of anuran muscles used for call production in relation to the thermal environment of a species</t>
  </si>
  <si>
    <t>mitochondria; muscle capillarity; skeletal muscle; anuran; vocalization; thermal adaption; ultrastructure; Hylidae; Ranidae; frog</t>
  </si>
  <si>
    <t>MAMMALIAN RESPIRATORY SYSTEM; FROG RANA-CLAMITANS; HYLA-VERSICOLOR; OXIDATIVE CAPACITY; SKELETAL-MUSCLES; ADAPTIVE VARIATION; NEOTROPICAL FROGS; ANTARCTIC FISHES; ENERGETIC DEMAND; AEROBIC CAPACITY</t>
  </si>
  <si>
    <t>I examined the aerobic trunk muscles, which are used for call production, of male frogs from species that breed in different thermal environments to test the hypothesis that cold-adapted frogs should have fewer capillaries per unit mitochondrial volume in oxidative muscles than warm-adapted frogs because of reduced mitochondrial function at low temperatures. The species of interest mere the cold-temperate Pseudacris crucifer and the warm-tropical Hyla microcephala in the family Hylidae, and the cold-temperate Rana sylvatica and the warm-temperate Rana clamitans in the family Ranidae. Trunk-muscle mitochondrial volume, Vv(mt,f), was proportionally higher in species with higher mean calling rates (number of notes per houri, irrespective of the familial affinity of a species and the thermal environment in which it vocalized. Trunk-muscle capillary length density, Jv(c,f), was significantly lower in P. crucifer than in H. microcephala because of significantly higher mean fiber area, a(f). Conversely, trunk-muscle Jv(c,f) was similar in the two ranid species. Using total capillary length, Jic), and total mitochondrial volume, V(mt,m), as a measure of maximal oxygen supply and demand, respectively, in trunk muscles, J(c)-to-V(mt,m) ratios were significantly lower in cold-adapted P. crucifer (4.3 km cm(-3)) and R. sylvatica (4.8 km cm(-3)) than in warm-adapted H. microcephala (7.1 km cm(-3)) and R. clamitans (6.4 km cm(-3)). In contrast, J(c)-to-V(mt,m) ratios in the more anaerobic gastrocnemius muscle of these species was not related to the thermal environment of a species, which may reflect capillaries conforming to microcirculatory functions, e.g. lactate removal, that take precedence over oxygen delivery. R Mitochondrial cristae surface area, Sv(im,mt), in P. crucifer trunk and gastrocnemius muscles (37.7 +/-1.6 and 35.9 +/-1.5 m(2)cm(-3) respectively) was, on average, similar to mammalian values, suggesting equivalent structural capacities of muscle mitochondria in these two taxa. Taken together, the present data suggest that trunk-muscle respiratory design may reflect a capillary supply commensurate with maximal levels of oxygen delivery set by mitochondria operating at different environmental temperatures. P. crucifer and H. microcephala trunk muscles were also characterized by a high lipid content, which contrasted with a near absence of trunk-muscle lipids in R. sylvatica and R. clamitans. The extraordinarily high lipid content of P. crucifer trunk muscles (26 % of muscle volume) may serve as an auxiliary oxygen pathway to mitochondria and thus compensate in part for this tissue's reduced capillary/fiber interface. The effect of potentially high depletion rates of trunk-muscle lipid stores on metabolic rates of male frogs while calling is discussed.</t>
  </si>
  <si>
    <t>Univ Connecticut, Dept Ecol &amp; Evolutionary Biol, Storrs, CT 06269 USA</t>
  </si>
  <si>
    <t>University of Connecticut</t>
  </si>
  <si>
    <t>Ressel, SJ (corresponding author), Coll Atlantic, 105 Eden St, Bar Harbor, ME 04609 USA.</t>
  </si>
  <si>
    <t>428XP</t>
  </si>
  <si>
    <t>WOS:000168487200008</t>
  </si>
  <si>
    <t>Bonadonna, F; Spaggiari, J; Weimerskirch, H</t>
  </si>
  <si>
    <t>Could osmotaxis explain the ability of blue petrels to return to their burrows at night?</t>
  </si>
  <si>
    <t>homing; orientation; olfaction; blue petrel; Halobaena caerulea; zinc sulphate; anosmia; Kerguelen archipelago</t>
  </si>
  <si>
    <t>ANTARCTIC PROCELLARIIFORM SEABIRDS; ZINC-SULFATE TREATMENT; HOMING BEHAVIOR; OLFACTORY EXPERIMENTS; HALOBAENA-CAERULEA; PIGEONS; BIRDS; PREDATION; ODORS</t>
  </si>
  <si>
    <t>Like many other species of petrel, blue petrel (Halobaena caerulea) are able to return to their nest burrows at night in complete darkness. Since petrels have a well-developed olfactory system, we carried out an experiment to test whether blue petrels use olfaction to localise their nest burrows, Incubating birds were injected intranasally with a zinc sulphate solution, which reversibly impairs the sensitivity of the olfactory mucosa; control birds were treated with physiological saline solution. None of the anosmic birds returned to their burrows, whereas all the birds treated with saline solution did. Our results suggest that olfactory cues are necessary for blue petrels to find their burrows.</t>
  </si>
  <si>
    <t>CNRS, Ctr Etud Biol Chize, F-79360 Villiers en Bois, France</t>
  </si>
  <si>
    <t>Bonadonna, F (corresponding author), CNRS, Ctr Etud Biol Chize, F-79360 Villiers en Bois, France.</t>
  </si>
  <si>
    <t>Weimerskirch, Henri/K-7306-2019; Bonadonna, Francesco/A-7456-2008; Weimerskirch, Henri/F-5562-2013</t>
  </si>
  <si>
    <t>Weimerskirch, Henri/0000-0002-0457-586X; Bonadonna, Francesco/0000-0002-2702-5801;</t>
  </si>
  <si>
    <t>WOS:000168487200011</t>
  </si>
  <si>
    <t>Smith, PJ; Gaffney, PM; Purves, M</t>
  </si>
  <si>
    <t>Genetic markers for identification of Patagonian toothfish and Antarctic toothfish</t>
  </si>
  <si>
    <t>Southern Ocean; toothfish; Dissostichus eleginoides; D. mawsoni; isoelectric focusing; mitochondrial DNA</t>
  </si>
  <si>
    <t>NEW-ZEALAND WATERS</t>
  </si>
  <si>
    <t>Fillet samples of the toothfish Dissostichus eleginoides and D. mawsoni can be distinguished readily by muscle proteins revealed by isoelectric focusing and mitochondrial DNA markers. The proteins also distinguish toothfish from other species marketed under similar trade names.</t>
  </si>
  <si>
    <t>Natl Inst Water &amp; Atmospher Res Ltd, Wellington, New Zealand; Univ Delaware, Coll Marine Studies, Lewes, DE 19958 USA; Sea Fisheries Res Inst, ZA-8012 Cape Town, South Africa</t>
  </si>
  <si>
    <t>National Institute of Water &amp; Atmospheric Research (NIWA) - New Zealand; University of Delaware</t>
  </si>
  <si>
    <t>Smith, PJ (corresponding author), Natl Inst Water &amp; Atmospher Res Ltd, POB 14 901, Wellington, New Zealand.</t>
  </si>
  <si>
    <t>10.1111/j.1095-8649.2001.tb00565.x</t>
  </si>
  <si>
    <t>419ZE</t>
  </si>
  <si>
    <t>WOS:000167978800023</t>
  </si>
  <si>
    <t>Silva, JRMC; Hernandez-Blazquez, FJ; Porto-Neto, LR; Borges, JCS</t>
  </si>
  <si>
    <t>Comparative study of in vivo and in vitro phagocytosis including germicidal capacity in Odontaster validus (Koehler, 1906) at 0°C</t>
  </si>
  <si>
    <t>JOURNAL OF INVERTEBRATE PATHOLOGY</t>
  </si>
  <si>
    <t>Odontaster; echinoderm; starfish; coelomocytes; phagocytes</t>
  </si>
  <si>
    <t>SEA-URCHINS STRONGYLOCENTROTUS; CELOMIC FLUID; BACTERIAL CLEARANCE; HEMAGGLUTININ; ECHINODERMATA; CELOMOCYTES; ELEMENTS</t>
  </si>
  <si>
    <t>The phagocytosis and germicidal capacity of Saccharomyces cerevisiae by phagocytic amoebocytes (PA) of the Antarctic starfish Odontaster validus were studied in vivo (after incubation periods of 1, 2, and 4 h) and in vitro (after incubation periods of 1, 2, 4, 8, and 12 h) at 0 degreesC, The total number of PA and the phagocytic capacity (PC), phagocytic index (PI), and germicidal capacity (GC) of the PA were calculated. Results showed significant variability of the total PA number in different animals, There was a significant increase in PC and no significant differences in PI and GC for different in vitro incubation times. In vivo, experiments showed no significant difference of PC and PI, but there was a significant increase in GC as incubation periods increased. Comparison between in vitro and in vivo results revealed that PI and PC were significantly higher in vitro and that GC was significantly higher in vivo. The present study shows for the first time the phagocytosis and GC of an Antarctic invertebrate in vivo at low temperature (0 degreesC), and the results are comparing with the available literature for echinoderms, (C) 2001 Academic Press.</t>
  </si>
  <si>
    <t>Univ Sao Paulo, Dept Histol &amp; Embriol, Inst Ciencias Biomed 1, BR-05508900 Sao Paulo, Brazil; Univ Sao Paulo, Fac Zootecn &amp; engn Aimentos, Dept Ciencias Basicas, BR-13630000 Pirassununga, SP, Brazil</t>
  </si>
  <si>
    <t>Universidade de Sao Paulo; Universidade de Sao Paulo</t>
  </si>
  <si>
    <t>Univ Sao Paulo, Dept Histol &amp; Embriol, Inst Ciencias Biomed 1, Av Prof Lineu Prestes,1524,Cidade Univ, BR-05508900 Sao Paulo, Brazil.</t>
  </si>
  <si>
    <t>jrmcs@usp.br</t>
  </si>
  <si>
    <t>Hernandez-Blazquez, Francisco Javier/K-5450-2014; Silva, J.R.M.C./H-7496-2016; Borges, João CS/B-9057-2012; Porto-Neto, Laercio/D-2594-2012</t>
  </si>
  <si>
    <t>Silva, J.R.M.C./0000-0002-1687-8526; Porto-Neto, Laercio/0000-0002-3536-8265; Shimada Borges, Joao Carlos/0000-0002-3947-4655</t>
  </si>
  <si>
    <t>0022-2011</t>
  </si>
  <si>
    <t>1096-0805</t>
  </si>
  <si>
    <t>J INVERTEBR PATHOL</t>
  </si>
  <si>
    <t>J. Invertebr. Pathol.</t>
  </si>
  <si>
    <t>10.1006/jipa.2001.5016</t>
  </si>
  <si>
    <t>438BG</t>
  </si>
  <si>
    <t>WOS:000169033400005</t>
  </si>
  <si>
    <t>Pérez, FF; Mintrop, L; Llinás, O; Glez-Dávila, M; Castro, CG; Alvarez, M; Körtzinger, A; Santana-Casiano, M; Rueda, MJ; Ríos, AF</t>
  </si>
  <si>
    <t>Mixing analysis of nutrients, oxygen and inorganic carbon in the Canary Islands region</t>
  </si>
  <si>
    <t>water masses; CO2; oxygen; nutrients; 'NO'; 'NCO'; north Atlantic</t>
  </si>
  <si>
    <t>NORTH-ATLANTIC OCEAN; LABRADOR-SEA-WATER; MEDITERRANEAN WATER; ISOPYCNAL SURFACES; INTERMEDIATE WATER; MODE WATER; CIRCULATION; MASSES; AZORES; HYDROGRAPHY</t>
  </si>
  <si>
    <t>We show the distribution of nutrients, oxygen, total dissolved inorganic carbon (C-T) and total alkalinity (A(T)) along three sections close to the Canary Islands, between 18 degreesW and the African coast during Meteor 37/2 cruise (January 1997). From the thermohaline properties of Eastern North Atlantic Central Water (ENACW), Mediterranean Water (MW), Antarctic Intermediate Water (AAIW) and North Atlantic Deep Water (NADW), a mixing model has been established based on the water mass description. It can explain most of the variabilities found in the distribution of the chemical variables, including the carbon system, and it is validated through the use of conservative chemical variables like 'NO.' From nutrients, oxygen, A(T) and C-T, the chemical characterisation of the water masses was performed by calculating the concentration of these variables in the previously defined thermohaline end-members. The relative variation of nutrient concentrations, resulting from the regeneration of organic matter, was estimated. Close to the African shelf-break, a poleward undercurrent conveying as much as a 11% of AAIW was observed only in the southern section (28.5 degreesN). From the chemical and thermohaline properties of the end-members, a comparison with data from other oceanic regions was made in respect to conservative chemical variables ('NO'). In addition, a north-south gradient in the ventilation pattern of water masses is observed from the residuals of the model. (C) 2001 Elsevier Science B.V. All rights reserved.</t>
  </si>
  <si>
    <t>CSIC, Inst Invest Marinas Vigo, Vigo 36208, Spain; Univ Kiel, Inst Meereskunde, Abt Meereschem, D-24105 Kiel, Germany; Inst Canario Ciencias Marinas, TELDE Grand Canary 35200, Spain; Univ Las Palmas Gran Canaria, Dept Quim, Las Palmas Gran Canaria 35017, Spain</t>
  </si>
  <si>
    <t>Consejo Superior de Investigaciones Cientificas (CSIC); CSIC - Instituto de Investigaciones Marinas (IIM); University of Kiel; Universidad de Las Palmas de Gran Canaria</t>
  </si>
  <si>
    <t>Pérez, FF (corresponding author), CSIC, Inst Invest Marinas Vigo, Eduardo Cabello 6, Vigo 36208, Spain.</t>
  </si>
  <si>
    <t>CASIANO, JUANA MAGDALENA SANTANA/K-5058-2014; DAVILA, MELCHOR GONZALEZ/K-4958-2014; Körtzinger, Arne/A-4141-2014; Álvarez, Marta/D-4367-2009; Fernandez Perez, Fiz/B-9001-2011; GONZALEZ-DAVILA, MELCHOR/K-5058-2014</t>
  </si>
  <si>
    <t>CASIANO, JUANA MAGDALENA SANTANA/0000-0002-7930-7683; Álvarez, Marta/0000-0002-5075-9344; Fernandez Perez, Fiz/0000-0003-4836-8974; Castro, Carmen G./0000-0001-7415-078X; GONZALEZ-DAVILA, MELCHOR/0000-0003-3230-8985</t>
  </si>
  <si>
    <t>10.1016/S0924-7963(01)00003-3</t>
  </si>
  <si>
    <t>449YC</t>
  </si>
  <si>
    <t>WOS:000169713900002</t>
  </si>
  <si>
    <t>Noon, PE; Birks, HJB; Jones, VJ; Ellis-Evans, JC</t>
  </si>
  <si>
    <t>Quantitative models for reconstructing catchment ice-extent using physical-chemical characteristics of lake sediments</t>
  </si>
  <si>
    <t>maritime Antarctic; Signy Island; lake sediments; quantitative reconstructions; catchment ice-extent; glacial retreat; climatic change</t>
  </si>
  <si>
    <t>SOUTH-SHETLAND-ISLANDS; PARTIAL LEAST-SQUARES; KING-GEORGE-ISLAND; SIGNY ISLAND; LACUSTRINE SEDIMENT; POLLEN SPECTRA; MODERN ANALOGS; ANTARCTICA; PALEOLIMNOLOGY; ASSEMBLAGES</t>
  </si>
  <si>
    <t>The physical characteristics of surface sediments from a suite of pristine lakes on Signy Island, maritime Antarctic, were used to develop a quantitative link between catchment ice-extent and lake-sediment response. Percentage dry weight, median particle size, percentage loss-on-ignition and wet density of the lakes' surface sediments were the most significant variables explaining contemporary catchment ice-extent. Two independent reconstruction models - Partial Least Squares (PLS) and a Modern Analog Technique (MAT) - were applied to dated sediment cores at two sites on Signy Island. The validity of the reconstructions was tested against historical information on catchment ice-extent. With sufficiently high sedimentation rates and sampling resolution, the models can predict sub-decadal changes in ice-extent. The model results are best regarded as indicators of erosion resulting from meltwater activity in the catchment. Comparison of results with Twentieth Century climate records affirms the hypothesis that climatic warming is the most likely cause for the ice retreat observed on Signy Island during the last 40 yrs. Similar reconstruction models using these simple sedimentary measures could be developed for analogous locations in the Antarctic and in Arctic and Alpine regions.</t>
  </si>
  <si>
    <t>British Antarctic Survey, Cambridge CB3 0ET, England; Univ Bergen, Inst Bot, N-5007 Bergen, Norway; UCL, Environm Change Res Ctr, London WC1H 0AP, England</t>
  </si>
  <si>
    <t>UK Research &amp; Innovation (UKRI); Natural Environment Research Council (NERC); NERC British Antarctic Survey; University of Bergen; University of London; University College London</t>
  </si>
  <si>
    <t>Noon, PE (corresponding author), British Antarctic Survey, High Cross,Madingley Rd, Cambridge CB3 0ET, England.</t>
  </si>
  <si>
    <t>Birks, H. John B./C-3103-2008</t>
  </si>
  <si>
    <t>Birks, H. John B./0000-0002-5891-9859</t>
  </si>
  <si>
    <t>10.1023/A:1011193401627</t>
  </si>
  <si>
    <t>417UM</t>
  </si>
  <si>
    <t>WOS:000167852600009</t>
  </si>
  <si>
    <t>Buma, AGJ; de Boer, MK; Boelen, P</t>
  </si>
  <si>
    <t>Depth distributions of DNA damage in Antarctic marine phyto- and bacterioplankton exposed to summertime UV radiation</t>
  </si>
  <si>
    <t>Antarctic; bacterioplankton; CPDs; DNA damage; phytoplankton; solar radiation; UVAR; UVBR; UV radiation</t>
  </si>
  <si>
    <t>SOLAR ULTRAVIOLET-RADIATION; BIOLOGICAL WEIGHTING FUNCTION; B RADIATION; ICE ALGAE; PHYTOPLANKTON PHOTOSYNTHESIS; CARBON FIXATION; OZONE DEPLETION; WATERS; PHOTODAMAGE; COMMUNITIES</t>
  </si>
  <si>
    <t>During a survey from January to March 1998, the occurrence of W-B radiation (UVBR)-induced DNA damage in Antarctic marine phytoplankton and bacterioplankton was investigated, Sampling was done in Ryder Bay, off the British base Rothera Station, 67 degreesS, 68 degreesW (British Antarctic Survey). Samples were taken regularly during the survey period at fixed depths, after which DNA damage was measured in various plankton size fractions: (&gt; 10, 2-10, and 0,2-2 mum). Incident solar radiation was measured using spectroradiometry, whereas attenuation of biologically effective UVBR was studied using a DNA dosimeter, A diatom bloom was found in the bay during the research period, judging from microscopic observations and HPLC analyses of taxon-specific pigments, The high phytoplankton biomass likely caused strong attenuation of DNA effective UVBR (Kbd-eff). Kbd-eff values ranged from 0.83 .m(-1) at the peak of the bloom to 0.47 .m(-1) at the end of the season. UVBR-mediated DNA damage, as measured by cyclobutane pyrimidine dimer (CPD) abundance, was detected in all plankton Size fractions, Highest levels were found in the smallest size fraction, mainly consisting of heterotrophic bacteria. Clear CPD depth profiles were found during mid-summer (January, beginning of February) with surface levels exceeding 100 CPDs per million nucleotides in the bacterioplankton fraction. At that time, melting of the continuously present shelf ice caused strong salinity gradients in the upper meters, thereby stimulating water column stabilization. At the end of February and beginning of March, this phenomenon was less pronounced or absent, At that time, DNA damage was homogeneously distributed over the first 10 m, ranging between 20 and 30 CPDs per million nucleotides for the smallest size fraction,</t>
  </si>
  <si>
    <t>Univ Groningen, Dept Marine Biol, NL-9750 AA Haren, Netherlands</t>
  </si>
  <si>
    <t>University of Groningen</t>
  </si>
  <si>
    <t>Buma, AGJ (corresponding author), Univ Groningen, Dept Marine Biol, POB 14, NL-9750 AA Haren, Netherlands.</t>
  </si>
  <si>
    <t>10.1046/j.1529-8817.2001.037002200.x</t>
  </si>
  <si>
    <t>427DH</t>
  </si>
  <si>
    <t>WOS:000168389200002</t>
  </si>
  <si>
    <t>Kang, SH; Kang, JS; Lee, S; Chung, KH; Kim, D; Park, MG</t>
  </si>
  <si>
    <t>Antarctic phytoplankton assemblages in the marginal ice zone of the northwestern Weddell Sea</t>
  </si>
  <si>
    <t>BRANSFIELD-STRAIT REGION; WATER-COLUMN ASSEMBLAGES; PRIMARY PRODUCTIVITY; SOUTHERN-OCEAN; EDGE ZONE; BIOMASS; DISTRIBUTIONS; HYDROGRAPHY; PLANKTON; WINTER</t>
  </si>
  <si>
    <t>The waters around the northern tip of the Antarctic Peninsula show complex patterns of water circulation due to mixing of diverse water masses. Physicochemical properties of the different water types should affect the distribution, biomass and species composition of the phytoplankton assemblages. We examined these features in the marginal ice zone (MIZ) of northwestern Weddell Sea. Areas with the higher biomass were located in the Weddell Sea MIZ where the surface waters were relatively stable due to the sea-ice melting. In these waters, the colonial stage of Phaeocystis antarctica and micro-sized chain-forming diatoms accounted for 70% of the total phytoplankton carbon. Waters in the Bransfield Strait region, in contrast, were characterized by a dominance of nanoflagellates, which accounted for 80% of the total phytoplankton carbon. Our observations support the hypothesis that the species composition of phytoplankton communities is a function of the different water mass, reflecting the physical conditions of the upper water column, particularly its stability.</t>
  </si>
  <si>
    <t>Korea Ocean Res &amp; Dev Inst, Polar Sci Lab, Seoul 425600, South Korea; Seoul Natl Univ, Coll Nat Sci, Dept Oceanog, Seoul 151742, South Korea</t>
  </si>
  <si>
    <t>Korea Institute of Ocean Science &amp; Technology (KIOST); Seoul National University (SNU)</t>
  </si>
  <si>
    <t>Kang, SH (corresponding author), Korea Ocean Res &amp; Dev Inst, Polar Sci Lab, Ansan POB 29, Seoul 425600, South Korea.</t>
  </si>
  <si>
    <t>10.1093/plankt/23.4.333</t>
  </si>
  <si>
    <t>437RF</t>
  </si>
  <si>
    <t>WOS:000169006800001</t>
  </si>
  <si>
    <t>Hansen, ADA; Lowenthal, DH; Chow, JC; Watson, JG</t>
  </si>
  <si>
    <t>Black carbon aerosol at McMurdo station, Antarctica</t>
  </si>
  <si>
    <t>JOURNAL OF THE AIR &amp; WASTE MANAGEMENT ASSOCIATION</t>
  </si>
  <si>
    <t>REAL-TIME MEASUREMENT; SOUTH-POLE; MAUNA-LOA; ABSORPTION; PARTICLES; SOOT</t>
  </si>
  <si>
    <t>Aerosol light absorption as black carbon (BC) was measured from November 19, 1995, to February 6, 1996, at a location 0.65 km downwind of the center of McMurdo Station on the Antarctic coast. The results show a bimodal frequency distribution of BC concentrations. Approximately 65% of the measurements were found in a mode at a low range of concentrations centered at similar to 20 ng/m(3). These concentrations are higher than those found at other remote Antarctic locations and probably represent contamination from the station. The remaining measurements were in a high-concentration mode (BC similar to 300 ng/m(3)), indicating direct impact of local emissions from combustion activities at the station. High values of BC were associated with winds from the direction of the station, and the BC flux showed a clear directionality. Maximum BC concentrations occurred between 7:00 and 11:00 a.m. The polluted mode accounted for more than 80% of the BC frequency-weighted impact at this location.</t>
  </si>
  <si>
    <t>Desert Res Inst, Div Atmospher Sci, Reno, NV 89512 USA; Univ Calif Berkeley, Lawrence Berkeley Natl Lab, Div Engn, Berkeley, CA 94720 USA</t>
  </si>
  <si>
    <t>Nevada System of Higher Education (NSHE); Desert Research Institute NSHE; United States Department of Energy (DOE); Lawrence Berkeley National Laboratory; University of California System; University of California Berkeley</t>
  </si>
  <si>
    <t>Lowenthal, DH (corresponding author), Desert Res Inst, Div Atmospher Sci, 2215 Raggio Pkwy, Reno, NV 89512 USA.</t>
  </si>
  <si>
    <t>Watson, John G/E-6869-2010; Chow, Judith C/C-3495-2012</t>
  </si>
  <si>
    <t>Watson, John G/0000-0002-1752-6899; Chow, Judith C/0000-0002-1980-5891</t>
  </si>
  <si>
    <t>AIR &amp; WASTE MANAGEMENT ASSOC</t>
  </si>
  <si>
    <t>PITTSBURGH</t>
  </si>
  <si>
    <t>ONE GATEWAY CENTER, THIRD FL, PITTSBURGH, PA 15222 USA</t>
  </si>
  <si>
    <t>1047-3289</t>
  </si>
  <si>
    <t>J AIR WASTE MANAGE</t>
  </si>
  <si>
    <t>J. Air Waste Manage. Assoc.</t>
  </si>
  <si>
    <t>10.1080/10473289.2001.10464283</t>
  </si>
  <si>
    <t>Engineering, Environmental; Environmental Sciences; Meteorology &amp; Atmospheric Sciences</t>
  </si>
  <si>
    <t>Engineering; Environmental Sciences &amp; Ecology; Meteorology &amp; Atmospheric Sciences</t>
  </si>
  <si>
    <t>419HQ</t>
  </si>
  <si>
    <t>WOS:000167943600012</t>
  </si>
  <si>
    <t>Smith, VR; Steenkamp, M</t>
  </si>
  <si>
    <t>Classification of the terrestrial habitats on Marion Island based on vegetation and soil chemistry</t>
  </si>
  <si>
    <t>JOURNAL OF VEGETATION SCIENCE</t>
  </si>
  <si>
    <t>Canonical Correspondence Analysis; cluster analysis; ordination; peri-Antarctic island; plant guild; soil chemical composition; southern ocean island; sub-Antarctic</t>
  </si>
  <si>
    <t>SUB-ANTARCTIC ISLAND; PLANT-COMMUNITIES; NUTRIENT DYNAMICS; STANDING CROP</t>
  </si>
  <si>
    <t>Soil chemistry and vegetation data for 176 sites on sub-Antarctic Marion Island (47 degrees S, 38 degrees E) were subjected to Canonical Correspondence Analysis. 21 habitats in six habitat complexes were recognized from a clustering analysis of the site scores on the canonical axes. Another two habitats and one habitat complex were added to this. The resultant habitat classification closely reflects the between-habitat variation in the relative magnitudes of the main forcing variables that determine ecological succession on the island (moisture, exposure, parent soil material, salt-spray and manuring and trampling by seals and seabirds). It can be used by persons with a minimum of botanical or soil expertise. The habitat complexes (number of habitats in complex) are: Coastal Salt-spray Complex (2); Fellfield (2); Slope (6); Biotic Grassland (3); Biotic Herbfield (3); Mire (6); Polar Desert (1). A key is provided whereby the habitat to which a particular site belongs can be determined using botanical criteria, although infrequently soil moisture and pH information is also needed. Summaries of the soil chemistry and vegetation characteristics of the various habitats are also provided.</t>
  </si>
  <si>
    <t>OPULUS PRESS UPPSALA AB</t>
  </si>
  <si>
    <t>UPPSALA</t>
  </si>
  <si>
    <t>BOX 25137, S 752 25 UPPSALA, SWEDEN</t>
  </si>
  <si>
    <t>1100-9233</t>
  </si>
  <si>
    <t>J VEG SCI</t>
  </si>
  <si>
    <t>J. Veg. Sci.</t>
  </si>
  <si>
    <t>10.2307/3236603</t>
  </si>
  <si>
    <t>446EZ</t>
  </si>
  <si>
    <t>WOS:000169501100003</t>
  </si>
  <si>
    <t>Lamb, CE; van Aarde, RJ</t>
  </si>
  <si>
    <t>Maternal dietary protein intake and sex-specific investment in Mastomys coucha (Rodentia: Muridae)</t>
  </si>
  <si>
    <t>maternal investment; sex ratio; body tissue composition; pup growth; Mastomys coucha</t>
  </si>
  <si>
    <t>SOUTHERN ELEPHANT SEALS; ANTARCTIC FUR-SEAL; RATIO MANIPULATION; HALICHOERUS-GRYPUS; BREEDING SUCCESS; GRAY SEAL; LIFE-SPAN; GROWTH; NUTRITION; ENERGY</t>
  </si>
  <si>
    <t>We examined data on captive multi-mammate mice (Mastomys coucha) to assess differential maternal investment, and sex-specific resource allocation. Differences in maternal size were induced through manipulation of dietary protein in three treatment groups: low (10%), medium (15%) and high (20%) protein diets. Mothers on the 20% protein diet were significantly larger than those on the lower protein diets, and produced significantly more male than female offspring. Mothers on the lower protein diets did not produce sex-biased litters. There were no sex-specific differences in body size or body tissue composition of pups at birth or at weaning within each treatment group. At weaning, pups in the 20% protein treatment group had proportionately greater amounts of lean tissue and less body lipid reserves than pups in the 10% protein treatment group. Pups in the 20% protein treatment group were also larger, and had faster growth rates, than those in the 10% protein treatment group. Weaned pups in the 15% protein treatment group had the fastest growth rates and greatest energetic reserves of all of the treatment groups. Our results suggest that larger mothers on the high (20%) protein diet show differential investment in the sexes, not by allocating more resources to individuals of that sex, but by producing more male than female offspring.</t>
  </si>
  <si>
    <t>Univ Pretoria, Conservat Ecol Res Unit, Dept Zool &amp; Entomol, ZA-0002 Pretoria, South Africa</t>
  </si>
  <si>
    <t>Univ Pretoria, Conservat Ecol Res Unit, Dept Zool &amp; Entomol, ZA-0002 Pretoria, South Africa.</t>
  </si>
  <si>
    <t>rjvaarde@zoology.up.ac.za</t>
  </si>
  <si>
    <t>10.1017/S0952836901000462</t>
  </si>
  <si>
    <t>431CZ</t>
  </si>
  <si>
    <t>WOS:000168615500008</t>
  </si>
  <si>
    <t>Rogers, M</t>
  </si>
  <si>
    <t>The South Pole:: An account of the Norwegian Antarctic expedition in the Fram, 1910-1912.</t>
  </si>
  <si>
    <t>REED BUSINESS INFORMATION</t>
  </si>
  <si>
    <t>360 PARK AVENUE SOUTH, NEW YORK, NY 10010 USA</t>
  </si>
  <si>
    <t>APR 1</t>
  </si>
  <si>
    <t>415BW</t>
  </si>
  <si>
    <t>WOS:000167701500282</t>
  </si>
  <si>
    <t>Jackson, GD; Moltschaniwskyj, NA</t>
  </si>
  <si>
    <t>The influence of ration level on growth and statolith increment width of the tropical squid Sepioteuthis lessoniana (Cephalopoda:Loliginidae):: an experimental approach</t>
  </si>
  <si>
    <t>SHORT-FINNED SQUID; CLUPEA-HARENGUS L; OTOLITH MICROSTRUCTURE; WATER TEMPERATURE; ABRALIA-TRIGONURA; LOLIGO-OPALESCENS; AGE; FISH; MATURATION; LARVAE</t>
  </si>
  <si>
    <t>Juvenile squids were grown in individual 2.6-1 floating enclosures and were fed either a high- or a low-ration diet of fish and the crustacean Acetes. Squids were maintained for a maximum of 44 days in two experiments. The high-ration individuals reached a significantly larger size in both experiments (27, 25.5 mm mean mantle length, ML) compared to their low-ration siblings (19 mm mean ML) in both experiments. The statolith increment widths prior to the start of the experiment were significantly wider (between 3 and 4 mum) compared to the increment widths after the start of the experiment (between 2 and 3 mum) both for the low- and the high-ration squids. High-ration squids also had significantly wider increments and larger statoliths than their low-ration siblings. Even though we detected consistent trends in daily statolith increment widths for the different feeding regimes, we could not detect variation in increment widths at a daily level of resolution (i.e. as a result of differences in day-to-day food intake at an individual level). This was probably due to the relatively consistent diet experienced by each individual. These experiments revealed that ration level influences squid growth rate, statolith size and daily statolith increment width.</t>
  </si>
  <si>
    <t>Univ Tasmania, Inst Antarctic &amp; So Ocean Studies, Hobart, Tas 7001, Australia; Univ Tasmania, Sch Aquaculture, Launceston, Tas 7250, Australia</t>
  </si>
  <si>
    <t>Jackson, GD (corresponding author), Univ Tasmania, Inst Antarctic &amp; So Ocean Studies, POB 252-77, Hobart, Tas 7001, Australia.</t>
  </si>
  <si>
    <t>george.jackson@utas.edu.au</t>
  </si>
  <si>
    <t>Moltschaniwskyj, Natalie/D-2048-2012; Moltschaniwskyj, Natalie/AAB-7236-2019; Jackson, George D/AAI-7315-2021</t>
  </si>
  <si>
    <t>Moltschaniwskyj, Natalie/0000-0001-9709-9876</t>
  </si>
  <si>
    <t>10.1007/s002270000496</t>
  </si>
  <si>
    <t>429MA</t>
  </si>
  <si>
    <t>WOS:000168519900017</t>
  </si>
  <si>
    <t>Oiled Antarctic penguins</t>
  </si>
  <si>
    <t>430JT</t>
  </si>
  <si>
    <t>WOS:000168571300009</t>
  </si>
  <si>
    <t>Pavlov, VK; Stanovoy, VV</t>
  </si>
  <si>
    <t>The problem of transfer of radionuclide pollution by sea ice</t>
  </si>
  <si>
    <t>Kara Sea; Greenland Sea; marine ecology; radioactive contamination; ice; isotopes</t>
  </si>
  <si>
    <t>The problem of the radioactive pollution of the ice cover is discussed in this paper. An estimation of the possible transport of the radionuclides by drifting ice from the Kara Sea into the Arctic Ocean is presented. The conclusion about the importance of the contribution of drifting ice to the contamination of the Greenland coastal Rater is based on the comparison of estimates of the multiyear export of radioactive drifting ice from the Kara Sea with the observed concentrations of the radionuclides in the Greenland coastal water, (C) 2001 Elsevier Science Ltd. All rights reserved.</t>
  </si>
  <si>
    <t>Norwegian Polar Inst, Polar Environm Ctr, N-9296 Tromso, Norway; Arctic &amp; Antarctic Res Inst, St Petersburg 199397, Russia</t>
  </si>
  <si>
    <t>Norwegian Polar Institute; Arctic &amp; Antarctic Research Institute</t>
  </si>
  <si>
    <t>Norwegian Polar Inst, Polar Environm Ctr, N-9296 Tromso, Norway.</t>
  </si>
  <si>
    <t>WOS:000168571300020</t>
  </si>
  <si>
    <t>La Terza, A; Papa, G; Miceli, C; Luporini, P</t>
  </si>
  <si>
    <t>Divergence between two Antarctic species of the ciliate Euplotes, E-focardii and E-nobilii, in the expression of heat-shock protein 70 genes</t>
  </si>
  <si>
    <t>Antarctic meiofauna; cold adaptation; Hsp70; Protozoa; stress response; thermotolerance</t>
  </si>
  <si>
    <t>STRESS-RESPONSE; MOLECULAR CHAPERONES; HYDRA-OLIGACTIS; THERMOTOLERANCE; RAIKOVI; ABSENT; FAMILY</t>
  </si>
  <si>
    <t>Most organisms oppose many environmental stresses by rapidly enhancing synthesis of the highly conserved Hsp70 family of heat-shack proteins. Two ciliates which are endemic in Antarctic coastal seawater Euplotes focardii and E. nobilii, and behave as psychrophile and psychrotroph micro-organisms, respectively, revealed a divergence in the capacity to respond to thermal stress with an activation of the transcription of their hsp70 genes. In both species, these genes were shown to be represented by thousands of copies in the cell's somatic functional nucleus (macronucleus). However while a strong transcriptional activity of hsp70 genes was induced in E. nobilii cells transferred from 4 to 20 degreesC, a much smaller increase was revealed in heat-shocked cells of E. focardii. These findings suggest a closer adaptation to the stably cold Antarctic waters in the genetic response of E. focardii to thermal stress.</t>
  </si>
  <si>
    <t>Univ Camerino, Dipartimento Biol Mol Cellulare Anim, I-62032 Camerino, MC, Italy</t>
  </si>
  <si>
    <t>University of Camerino</t>
  </si>
  <si>
    <t>Univ Camerino, Dipartimento Biol Mol Cellulare Anim, I-62032 Camerino, MC, Italy.</t>
  </si>
  <si>
    <t>alt@cambia.unicam.it</t>
  </si>
  <si>
    <t>La Terza, Antonietta/0000-0002-1244-1503; Miceli, Cristina/0000-0002-7829-8471</t>
  </si>
  <si>
    <t>1365-294X</t>
  </si>
  <si>
    <t>10.1046/j.1365-294X.2001.01242.x</t>
  </si>
  <si>
    <t>428RH</t>
  </si>
  <si>
    <t>WOS:000168455500021</t>
  </si>
  <si>
    <t>Pörtner, HO</t>
  </si>
  <si>
    <t>Climate change and temperature-dependent biogeography:: oxygen limitation of thermal tolerance in animals</t>
  </si>
  <si>
    <t>NATURWISSENSCHAFTEN</t>
  </si>
  <si>
    <t>MITOCHONDRIAL-FUNCTION; ARENICOLA-MARINA; ENERGY-METABOLISM; ANTARCTIC BIVALVE; SKELETAL-MUSCLE; INNER MEMBRANE; PERFORMANCE; ADAPTATION; LACTATE; CONSEQUENCES</t>
  </si>
  <si>
    <t>Recent years have shown a rise in mean global temperatures and a shift in the geographical distribution of ectothermic animals. For a cause and effect analysis the present paper discusses those physiological processes limiting thermal tolerance. The lower heat tolerance in metazoa compared with unicellular eukaryotes and bacteria suggests that a complex systemic rather than molecular process is limiting in metazoa. Whole-animal aerobic scope appears as tho first process limited at low and high temperatures, linked to the progressively insufficient capacity of circulation and ventilation. Oxygen levels in body fluids may decrease, reflecting excessive oxygen demand at high temperatures or insufficient aerobic capacity of mitochondria at low temperatures. Aerobic scope falls at temperatures beyond the thermal optimum and vanishes at low or high critical temperatures when transition to an anaerobic mitochondrial metabolism occurs. The adjustment of mitochondrial densities on top of parallel molecular or membrane adjustments appears crucial for maintaining aerobic scope and for shining thermal tolerance. In conclusion, the capacity of oxygen delivery matches full aerobic scope only within the thermal optimum. At temperatures outside this range, only time-limited survival is supported by residual aerobic scope, then anaerobic metabolism and finally molecular protection by heat shock proteins and antioxidative defence. In a cause and effect hierarchy, the progressive increase in oxygen limitation at extreme temperatures may even enhance oxidative and denaturation stress. As a corollary, capacity limitations at a complex level of organisation, the oxygen delivery system, define thermal tolerance Limits before molecular functions become disturbed.</t>
  </si>
  <si>
    <t>hpoertner@awi-bremerhaven.de</t>
  </si>
  <si>
    <t>Pörtner, Hans-O./ISU-9397-2023; Pörtner, Hans-O./K-9429-2016</t>
  </si>
  <si>
    <t>Pörtner, Hans-O./0000-0001-6535-6575</t>
  </si>
  <si>
    <t>0028-1042</t>
  </si>
  <si>
    <t>1432-1904</t>
  </si>
  <si>
    <t>Naturwissenschaften</t>
  </si>
  <si>
    <t>447AZ</t>
  </si>
  <si>
    <t>WOS:000169547500001</t>
  </si>
  <si>
    <t>NUCLEAR PHYSICS B-PROCEEDINGS SUPPLEMENTS</t>
  </si>
  <si>
    <t>6th International Conference on Frontiers in Particle Astrophysics and Cosmology</t>
  </si>
  <si>
    <t>SEP 30-OCT 05, 2000</t>
  </si>
  <si>
    <t>SAN FELIU DE GUIXOLS, SPAIN</t>
  </si>
  <si>
    <t>INFLATION; PERTURBATIONS; CONSTANT</t>
  </si>
  <si>
    <t>With the recent publication of the measurements of the radiation angular power spectrum from the BOOMERanG-98 Antarctic flight [1], it has become apparent that the currently favoured spatially-flat cold dark matter model (matter density parameter Omega (m) = 0.3, flatness being restored by a cosmological constant Omega (Lambda) = 0.7, Hubble parameter h = 0.65, baryon density parameter Omega (b)h(2) = 0.02) no longer provides a good fit to the data. We describe a phenomenological approach to resurrecting this paradigm. We consider a primordial power spectrum which incorporates a bump, arbitrarily placed at k(b), and characterized by a Gaussian in log k of standard deviation sigma (b) and amplitude A(b), that is superimposed on to a scale-invariant power spectrum. We generate a range of theoretical models that include a bump at scales consistent with cosmic microwave background and large-scale structure observations, and perform a simple chi2 test to compare our models with the COBE DMR data and the recently published BOOMERanG-98 and MAXIMA-1 data [2]. Unlike models that include a high baryon content, our models predict a low third acoustic peak. We find that low e observations (20 &lt; l &lt; 200) are a critical discriminant of the bumps because the transfer function has a sharp cutoff on the high e side of the first acoustic peak. We show that the concordance cosmology can be resurrected using our phenomenological approach and our best-fitting model is in agreement with the PSCz observations. A more detailed account of this work has been submitted to Monthly Notices of the Royal Astronomical Society for publication [3].</t>
  </si>
  <si>
    <t>Astrophys Nucl &amp; Astrophys Lab, Oxford OX1 3RH, England; Max Planck Inst Astrophys, D-85748 Garching, Germany</t>
  </si>
  <si>
    <t>Griffiths, LM (corresponding author), Astrophys Nucl &amp; Astrophys Lab, Keble Rd, Oxford OX1 3RH, England.</t>
  </si>
  <si>
    <t>silk, joe/0000-0002-1566-8148</t>
  </si>
  <si>
    <t>0920-5632</t>
  </si>
  <si>
    <t>NUCL PHYS B-PROC SUP</t>
  </si>
  <si>
    <t>Nucl. Phys. B-Proc. Suppl.</t>
  </si>
  <si>
    <t>10.1016/S0920-5632(01)01048-9</t>
  </si>
  <si>
    <t>Physics, Particles &amp; Fields</t>
  </si>
  <si>
    <t>416ZX</t>
  </si>
  <si>
    <t>WOS:000167811600005</t>
  </si>
  <si>
    <t>Elwers, K; Arbizu, PM; Fiers, F</t>
  </si>
  <si>
    <t>The genus Pseudocyclopina Lang in Antarctic waters:: Redescription of the type-species, P. belgicae (Giesbrecht, 1902) and the description of four new species (Copepoda: Cyclopinidae)</t>
  </si>
  <si>
    <t>OPHELIA</t>
  </si>
  <si>
    <t>Pseudocyclopina; redefinition; Cyclopinidae; Copepoda; plankton; Antarctica; phylogenetic systematics</t>
  </si>
  <si>
    <t>ICE; SEA; CYCLOPOIDA; GENERA; FAMILY; INLET; SCOTT; KEY</t>
  </si>
  <si>
    <t>Three new species of the genus Pseudocyclopina Lang, 1946, viz. P. eddatreyae sp. n., P. bemdtreyi sp. n., and P. vaitkoehlerae sp. n., are described from the coastal planktic community and hyperbenthic water layers of Potter Cove, King George Island (Antarctica). A fourth new species, Tr guentheri sp. n., was discovered in the under-ice planktic community off the German Neumayer-Station in the Weddell Sea. In order to establish a revised generic diagnosis, the type-species, II belgicae (Giesbrecht, 1902) is also redescribed in detail. The three species from Potter Cove are more closely related to each other than to the sister-pair of species: II belgicae and I guentheri sp. n.. The first group differs from the two sister-species in several aspects: 2 setae represent the antennary exopodite; a row of long spinules is found on the lateral margins of the fifth legs tergite, the shape of the maxillipedal endopodite is compact; and modified setae are present on antenna and maxilliped. The male of Il eddatreyae sp, n, differs from II belgicae in having an inner coral seta on fifth leg. The genus Pseudocyclopina presently is regarded as endemic to Antarctic waters. Phylogenetically, the genus appears to be the sister-group of a taxon comprising Cyclopinopsis Smirnov, 1935 and Parapseudocyclopinodes Lindberg, 1961. The sister-group of all three genera together is the genus Cyclopinodes Wilson, 1932.</t>
  </si>
  <si>
    <t>Univ Oldenburg, FB 7, AG Zoosystemat &amp; Morphol, D-26111 Oldenburg, Germany; Roy Belgian Inst Nat Sci, B-1000 Brussels, Belgium</t>
  </si>
  <si>
    <t>Carl von Ossietzky Universitat Oldenburg; Royal Belgian Institute of Natural Sciences</t>
  </si>
  <si>
    <t>Fiers, F (corresponding author), Univ Oldenburg, FB 7, AG Zoosystemat &amp; Morphol, D-26111 Oldenburg, Germany.</t>
  </si>
  <si>
    <t>martinez@cem.ufpr.br</t>
  </si>
  <si>
    <t>OPHELIA PUBLICATIONS</t>
  </si>
  <si>
    <t>STENSTRUP</t>
  </si>
  <si>
    <t>KIRKEBY SAND 19, DK-5771 STENSTRUP, DENMARK</t>
  </si>
  <si>
    <t>0078-5326</t>
  </si>
  <si>
    <t>Ophelia</t>
  </si>
  <si>
    <t>10.1080/00785236.2001.10409462</t>
  </si>
  <si>
    <t>437CW</t>
  </si>
  <si>
    <t>WOS:000168973500006</t>
  </si>
  <si>
    <t>Sedwick, PN; Harris, PT; Robertson, LG; McMurtry, GM; Cremer, MD; Robinson, P</t>
  </si>
  <si>
    <t>Holocene sediment records from the continental shelf of Mac. Robertson Land, East Antarctica</t>
  </si>
  <si>
    <t>MARGINAL ICE-ZONE; ROSS SEA; SOUTHERN-OCEAN; MARINE-SEDIMENTS; WEDDELL SEA; PHYTOPLANKTON BIOMASS; SPATIAL PATTERNS; BIOGENIC SILICA; ORGANIC-CARBON; BOTTOM WATER</t>
  </si>
  <si>
    <t>Geochemical records are presented for five sediment cores from basins on the continental shelf of Mac. Robertson Land, East Antarctica. The cores contain 2-4 m thick sequences of hemipelagic, siliceous mud and ooze (SMO) deposited under seasonally open marine conditions. The inner and middle shelf SMO sequences are massive dark olive green material, whereas the outer shelf SMO sequences are dark olive material interspersed with light olive green layers similar to1-10 cm thick. The biogenic material is dominated by marine diatoms including Fragilariopsis curta, Fragilariopsis cylindrus, and Chaetoceros spp. in the dark-colored SMO and Corethron criophilum in the light-colored layers. Radiocarbon dates suggest that the cores provide continuous accumulation records extending from &lt; 1 kyr before present (B.P.) back as far as 4-15 kyr B.P., with estimated accumulation rates of 0.07-5 mm yr(-1). The three core records from the middle and outer shelf suggest six episodes of increased accumulation of biogenic material at 5.5 kyr B.P. tall three cores), 1, 2, and 6.2 kyr B.P. (two of the three cores), and 3.8 and 10.8 kyr B.P. tone core), most of which coincide with Corethron layers. We interpret these features as the result of enhanced diatom production over the outer shelf, possibly related to climatic warm periods. The absence of such features in the inner shelf core records is thought to reflect a relatively constant level of seasonal diatom production in adjacent waters maintained by a coastal polynya.</t>
  </si>
  <si>
    <t>Antarctic CRC, Hobart, Tas 7001, Australia; Australian Geol Survey Org, Hobart, Tas, Australia; Univ Hawaii, Dept Oceanog, Honolulu, HI 96822 USA; Univ Tasmania, Dept Geol, Hobart, Tas 7001, Australia</t>
  </si>
  <si>
    <t>Geoscience Australia; University of Hawaii System; University of Tasmania</t>
  </si>
  <si>
    <t>Sedwick, PN (corresponding author), Antarctic CRC, GPO Box 252-80, Hobart, Tas 7001, Australia.</t>
  </si>
  <si>
    <t>Harris, Peter/AAI-7100-2020; Harris, Peter T/C-6997-2009</t>
  </si>
  <si>
    <t>Sedwick, Peter/0000-0003-0663-8323</t>
  </si>
  <si>
    <t>10.1029/2000PA000504</t>
  </si>
  <si>
    <t>414YG</t>
  </si>
  <si>
    <t>WOS:000167693300007</t>
  </si>
  <si>
    <t>Cockell, CS; Horneck, G</t>
  </si>
  <si>
    <t>The history of the UV radiation climate of the earth - Theoretical and space-based observations</t>
  </si>
  <si>
    <t>CARBON-DIOXIDE CONCENTRATIONS; BACILLUS-SUBTILIS SPORES; ULTRAVIOLET-RADIATION; ATMOSPHERIC OZONE; YOUNG SUN; EVOLUTION; OXYGEN; ENVIRONMENT; WAVELENGTHS; LUMINOSITY</t>
  </si>
  <si>
    <t>In the Archean era (3.8-2.5 Ga ago) the Earth probably lacked a protective ozone column. Using data obtained in the Earth's orbit on the inactivation of Bacillus subtilis spores we quantitatively estimate the potential biological effects of such an environment. We combine this practical data with theoretical calculations to propose a history of the potential UV stress on the surface of the Earth over time. The data suggest that an effective ozone column was established at a pO(2) of similar to5 x 10(-3) present atmospheric level. The improvement in the UV environment on the early Proterozoic Earth might have been a much more rapid event than has previously been supposed, with DNA damage rates dropping by two orders of magnitude in the space of just a few tens of minions of years. We postulate that a coupling between reduced UV stress and increased pO(2) production could have contributed toward a positive feedback in the production of ozone in the early Proterozoic atmosphere. This would contribute to the apparent rapidity of the oxidation event. The data provide an evolutionary perspective on present-day Antarctic ozone depletion.</t>
  </si>
  <si>
    <t>British Antarctic Survey, Cambridge CB3 0ET, England; German Aerosp Ctr, Inst Aerosp Med, Cologne, Germany</t>
  </si>
  <si>
    <t>UK Research &amp; Innovation (UKRI); Natural Environment Research Council (NERC); NERC British Antarctic Survey; Helmholtz Association; German Aerospace Centre (DLR)</t>
  </si>
  <si>
    <t>csoc@bas.ac.uk</t>
  </si>
  <si>
    <t>10.1562/0031-8655(2001)073&lt;0447:THOTUR&gt;2.0.CO;2</t>
  </si>
  <si>
    <t>425MW</t>
  </si>
  <si>
    <t>WOS:000168295500016</t>
  </si>
  <si>
    <t>Blachowiak-Samolyk, K</t>
  </si>
  <si>
    <t>Comparative studies on population structures of Alacia belgicae and Metaconchoecia isocheira (Ostracoda) in the Crocker Passage (Antarctic Peninsula) during various seasons</t>
  </si>
  <si>
    <t>CONCHOECIA-PSEUDODISCOPHORA; ZOOPLANKTON COMMUNITY; MESOPELAGIC OSTRACOD; JAPAN SEA; MCMURDO SOUND; FOOD WEB; ICE; VICINITY</t>
  </si>
  <si>
    <t>The population structures of pelagic Ostracoda Alacia belgicae and Metaconchoecia isocheira were investigated, using samples collected by vertical hauls with 200-mum-mesh net during three austral seasons: summer 1985/1986, autumn 1988 and winter 1989, from 1,200-m-deep Croker Passage. The seasonal changes of the A. belgicae age structure suggest the continual reproduction of this species during all seasons with a peak in summer. However, the life-cycle of M. isocheira is probably completed within I year. Reproduction of M. isocheira begins earlier than that of A. belgicae. The life-cycle of M. isocheira is strictly dependent on the Antarctic water circulation. The most developmentally advanced instars of this species are brought up to the surface in spring, and directed north off the Antarctic continent together with Antarctic Surface Waters. The process is reversed in autumn. The animals migrate into Circumpolar Deep Water to pass the winter in a more balanced environment. Occurrence of the younger instars of M. isocheira and A. belgicae almost entirely in the deepest layers of the Croker Passage in autumn confirms the ontogenetic migrations of these species.</t>
  </si>
  <si>
    <t>Polish Acad Sci, Marine Biol Ctr, PL-81347 Gdynia, Poland</t>
  </si>
  <si>
    <t>Blachowiak-Samolyk, K (corresponding author), Polish Acad Sci, Marine Biol Ctr, Sw Wojciecha 5 Str, PL-81347 Gdynia, Poland.</t>
  </si>
  <si>
    <t>Blachowiak-Samolyk, Katarzyna/0000-0001-8076-2168</t>
  </si>
  <si>
    <t>10.1007/s003000000200</t>
  </si>
  <si>
    <t>466UB</t>
  </si>
  <si>
    <t>WOS:000170663600002</t>
  </si>
  <si>
    <t>Pugh, PJA; Mercer, RD</t>
  </si>
  <si>
    <t>Littoral Acari of Marion Island: ecology and extreme wave action</t>
  </si>
  <si>
    <t>VERTICAL-DISTRIBUTION; MITES</t>
  </si>
  <si>
    <t>Fourteen species of littoral Acari (Arachnida) were collected from the shores of sub-Antarctic Marion island, of which Parasitiphis brunneus (Kramer) (Ologamasidae), Rhombognathus apsteini Lohmann and R. gressitti Newell (Halacaridae) are new to the Prince Edward Islands. Acari, impoverished both in terms of diversity and abundance, were confined to the few micro-habitats, including rocky-shore lichens, kelp holdfasts, other macroalgae and the surface pitting of mobile boulders, which provided protection from the direct and indirect stresses of severe wave action.</t>
  </si>
  <si>
    <t>British Antarctic Survey, NERC, Cambridge CB3 0ET, England; Univ Pretoria, Dept Zool &amp; Entomol, ZA-0002 Pretoria, South Africa</t>
  </si>
  <si>
    <t>UK Research &amp; Innovation (UKRI); Natural Environment Research Council (NERC); NERC British Antarctic Survey; University of Pretoria</t>
  </si>
  <si>
    <t>Anglia Polytech Univ, Dept Life Sci, East Rd, Cambridge CB1 1PT, England.</t>
  </si>
  <si>
    <t>p.j.a.pugh@anglia.ac.uk</t>
  </si>
  <si>
    <t>10.1007/s003000000203</t>
  </si>
  <si>
    <t>WOS:000170663600004</t>
  </si>
  <si>
    <t>Engelhard, GH; van den Hoff, J; Broekman, M; Baarspul, ANJ; Field, I; Burton, HR; Reijnders, PJH</t>
  </si>
  <si>
    <t>Mass of weaned elephant seal pups in areas of low and high human presence</t>
  </si>
  <si>
    <t>MIROUNGA-LEONINA; MACQUARIE-ISLAND; DECLINING POPULATION; CALLORHINUS-URSINUS; BREEDING DISPERSAL; HUMAN DISTURBANCE; WEANING MASS; BODY-SIZE; SUCCESS; PENGUINS</t>
  </si>
  <si>
    <t>On sub-Antarctic Macquarie Island, we examined pup weaning mass of southern elephant seals in relation to human presence. Pup weaning mass was previously found to be positively associated with 1st-year survivorship. Weaned pups were weighed in a remote area, Middle Beach, and in an area of relatively high human presence, Isthmus East. The areas were reasonably similar in beach topography, wind and surf conditions, numbers of seals present per kilometre of coastline, and numbers of males and females present in harems. For a sub-sample of measured pups, data on the respective maternal size were collected using photogrammetry. Both male and female weaned pups on Middle Beach were significantly heavier than those on Isthmus East. Estimated length of mothers was significantly higher on Middle Beach. In proportion to their own size, mothers in both areas produced weaners of similar mass, indicating no direct effect of human disturbance on the efficiency of lactation. It remained unclear whether the area differences in maternal and pup size were due to natural or human-related factors.</t>
  </si>
  <si>
    <t>Univ Groningen, Zool Lab, Ctr Ecol &amp; Evolutionary Studies, NL-9750 AA Haren, Netherlands; Australian Antarctic Div, Kingston, Tas 7050, Australia; Alterra Inst Marine &amp; Coastal Zone Res Team, NL-1790 AD Den Burg, Netherlands</t>
  </si>
  <si>
    <t>University of Groningen; Australian Antarctic Division; Wageningen University &amp; Research</t>
  </si>
  <si>
    <t>Engelhard, GH (corresponding author), Univ Groningen, Zool Lab, Ctr Ecol &amp; Evolutionary Studies, POB 14, NL-9750 AA Haren, Netherlands.</t>
  </si>
  <si>
    <t>G.H.Engelhard@biol.rug.nl</t>
  </si>
  <si>
    <t>reijnders, peter/0000-0002-3783-8283</t>
  </si>
  <si>
    <t>10.1007/s003000000204</t>
  </si>
  <si>
    <t>WOS:000170663600005</t>
  </si>
  <si>
    <t>Sharpe, M; Love, C; Marshall, C</t>
  </si>
  <si>
    <t>Lactate dehydrogenase from the Antarctic eelpout, Lycodichthys dearborni</t>
  </si>
  <si>
    <t>COLD ADAPTATION; MOLECULAR-BASIS; ALTEROMONAS-HALOPLANCTIS; PSYCHROPHILIC ENZYMES; ALPHA-AMYLASE; ACID-SEQUENCE; EVOLUTION; AMINO; SUBSTITUTIONS; STABILITY</t>
  </si>
  <si>
    <t>As part of our studies to examine the molecular basis of cold-adaptation, we have determined the kinetic properties, thermal stability and deduced amino acid sequence of the enzyme lactate dehydrogenase (LDH) from an Antarctic zoarcid fish, Lycodichthys dearborni. Unlike Antarctic notothenioid fish which are endemic to the Southern Ocean, zoarcid fish are cosmopolitan and have a substantially longer evolutionary history as a sub-order. The A(4)-LDH isoform was isolated and purified from the white muscle of L. dearborni. The kinetic parameters K-m(mYR) and k(cat) were determined at temperatures from 0 to 25 degreesC. K-m(PYR) was substantially higher at low temperatures than those from Antarctic and temperate notothenioid fish, whereas kcat at these temperatures was essentially the same as those of the other fish LDH in this study. The sequence of L. dearborni A(4)-LDH was determined from cDNA derived from white muscle RNA and found to be similar to, but distinct from, the A(4)-LDH sequences of Antarctic notothenioid fish. Molecular modelling based on the structure of the A(4)-LDH from Pagothenia borchgrevinki suggested that three conservative amino acid changes within the core of the protein that are not directly part of the active site but which might nonetheless influence the active site, may be important in cold-adaptation in L. dearborni A(4)-LDH, and that several other changes on the surface of the protein might also play a role in cold-adaptation.</t>
  </si>
  <si>
    <t>Univ Otago, Dept Biochem, Dunedin, New Zealand</t>
  </si>
  <si>
    <t>Univ Otago, Dept Biochem, POB 56, Dunedin, New Zealand.</t>
  </si>
  <si>
    <t>craig.marshall@stonebow.otago.ac.nz</t>
  </si>
  <si>
    <t>Love, Christopher/E-3503-2012; Marshall, Craig J./C-6668-2009</t>
  </si>
  <si>
    <t>Marshall, Craig J./0000-0003-4186-0368; Sharpe, Miriam/0000-0002-8936-1595</t>
  </si>
  <si>
    <t>10.1007/s003000000206</t>
  </si>
  <si>
    <t>WOS:000170663600007</t>
  </si>
  <si>
    <t>King, JC; Connolley, WM; Derbyshire, SH</t>
  </si>
  <si>
    <t>Sensitivity of modelled Antarctic climate to surface and boundary-layer flux parametrizations</t>
  </si>
  <si>
    <t>general-circulation models; heat flux; katabatic winds</t>
  </si>
  <si>
    <t>ICE SHEETS; CIRCULATION; ATMOSPHERE; VALIDATION; SCHEME; IMPACT</t>
  </si>
  <si>
    <t>The Hadley Centre climate model version HadAM2 is used to study the sensitivity of modelled Antarctic climate to the parametrization of surface and boundary-layer heat fluxes under stable conditions. Specifically, the impact of changing the dependence of surface exchange coefficients and eddy diffusivities on the Richardson number is investigated. Three alternative parametrizations are implemented; in all of these the exchange coefficients decrease more rapidly with increasing stability than they do in the standard parametrization used in the model. When only the surface flux scheme is replaced by one of these alternatives, cooling is largely restricted to the surface, with some compensating warming occurring at the lowest atmospheric levels, and little change is seen in the low-level wind field over Antarctica. if alternative schemes are implemented both at the surface and in the boundary layer, widespread cooling occurs at the surface and at the lowest one or two atmospheric levels. The increased negative buoyancy thus generated causes significant increases in the speed of katabatic winds blowing down the coastal slopes of Antarctica. Colder and stronger offshore winds lead to increased cooling of the Antarctic coastal waters. In a coupled model, this could impact on the production of sea ice and ocean-bottom water. The modelled temperature changes appear to show both a direct response to changed boundary-layer heat-flux divergence and an indirect response as a result of the consequent changes to the low-level circulation.</t>
  </si>
  <si>
    <t>British Antarctic Survey, Cambridge CB3 0ET, England; Meteorol Off, Bracknell RB12 2SZ, Berks, England</t>
  </si>
  <si>
    <t>UK Research &amp; Innovation (UKRI); Natural Environment Research Council (NERC); NERC British Antarctic Survey; Met Office - UK</t>
  </si>
  <si>
    <t>King, JC (corresponding author), British Antarctic Survey, High Cross,Madingley Rd, Cambridge CB3 0ET, England.</t>
  </si>
  <si>
    <t>10.1256/smsqj.57303</t>
  </si>
  <si>
    <t>429DD</t>
  </si>
  <si>
    <t>WOS:000168500000003</t>
  </si>
  <si>
    <t>Austin, J; Butchart, N; Knight, J</t>
  </si>
  <si>
    <t>Three-dimensional chemical model simulations of the ozone layer: 2015-55</t>
  </si>
  <si>
    <t>chemistry; climate; stratosphere; ultraviolet</t>
  </si>
  <si>
    <t>SOLID STRATOSPHERIC PARTICLES; REACTIVE UPTAKE COEFFICIENTS; QUASI-BIENNIAL OSCILLATION; ANTARCTIC OZONE; GREENHOUSE GASES; INTERANNUAL VARIABILITY; SULFATE AEROSOLS; HOLE; CHEMISTRY; CLIMATE</t>
  </si>
  <si>
    <t>A stratospheric-chemistry model coupled to a general-circulation model is used to investigate chemistry-climate coupling processes and their influence on ozone. Simulations commence on 1 March in each of the years 2014, 2024, 2034, 2044 and 2054, and consist of a 4-month spin-up period, followed by a 1-year integration. Projected values of halogen amounts and greenhouse gases are imposed on the model. During the period 2014-54, ozone generally increases but by 2054 has still not returned to 1980 conditions. In Antarctica, spring ozone recovers temporarily in the 2024 integration but the stone hole deepens significantly again in the 2034 and 2044 integrations before finally disappearing in the 2054 integration. The results suggest that the deepening of the Antarctic ozone hole in the model in 2034 and 2044. despite a reduction in halogen loading, is due to enhanced cooling due to increased greenhouse gases. Model-predicted temperature and ultraviolet (UV) changes are also investigated. It is found that recovery of ozone during the period of the simulations gives rise to reduced stratospheric temperature decreases and UV levels are still slightly higher in general than in previous calculations for 1980.</t>
  </si>
  <si>
    <t>Meteorol Off, Bracknell RG12 2SZ, Berks, England</t>
  </si>
  <si>
    <t>Met Office - UK</t>
  </si>
  <si>
    <t>Austin, J (corresponding author), Meteorol Off, London Rd, Bracknell RG12 2SZ, Berks, England.</t>
  </si>
  <si>
    <t>10.1256/smsqj.57312</t>
  </si>
  <si>
    <t>WOS:000168500000012</t>
  </si>
  <si>
    <t>Denner, EBM; Mark, B; Busse, HJ; Turkiewicz, M; Lubitz, W</t>
  </si>
  <si>
    <t>Psychrobacter proteolyticus sp nov., a psychrotrophic, halotolerant bacterium isolated from the antarctic krill Euphausia superba Dana, excreting a cold-adapted metalloprotease</t>
  </si>
  <si>
    <t>SYSTEMATIC AND APPLIED MICROBIOLOGY</t>
  </si>
  <si>
    <t>Antarctic marine bacterium; Sphingomonas paucimobilis strain 116; polyphasic taxonomy; Psycrobacter; cold-adapted metalloprotease</t>
  </si>
  <si>
    <t>EXTRACELLULAR PROTEASE; PSYCHROPHILIC BACTERIA; DNA HYBRIDIZATION; ALKALINE PROTEASE; RENATURATION; ACID; ACINETOBACTER; MORAXELLA; STRAINS; LAYER</t>
  </si>
  <si>
    <t>An Antarctic marine bacterium (strain 116) excreting an extracellular cold-adapted metalloprotease was subjected to a detailed polyphasic taxonomic investigation. Strain 116 was previously isolated from the stomach of a specimen of the Antartic krill Euphasia superba Dana and tentatively characterized as Sphingomonas paucimobilis 116. The 16S rDNA sequence analysis showed that the strain is in fact related to species of the genus Psychrohactex; next to Psychrobacter glacincola (97.4% similarity). Sequence similarities between strain 116 and other Psychrobacter species ranged from 96.9% (with P. urativorans) to 95.4% (with P. immobilis). Key phenotypic characteristics as well as chemotaxonomic features of the bacterium were congruent with the description of the genus Psychrobacter i.e. cells were strictly aerobic, strongly oxidase-positive, psychrotrophic, halotolerant, Gram-negative non-motile coccobacilli, with ubiquinone-8 as the main respiratory lipoquinone and 18:1 cis 9, 16:1 cis and 17:1 (omega 8c being the predominant cellular fatty acids. The G+C content of the DNA was 43.6 mot%. DNA-DNA hybridization studies showed chat the relatedness between strain 116 and Psychrobacter glacincola is only 62.2%. Further differences were apparent in whale-cell SDS-PAGE: protein pattern, cellular fatty acid profile and in a number of physiological and biochemical characteristics as well as in enzymatic activities. tolerance to 5% bile sails, nitrate reduction, citrate utilization, acid production from carbohydrates, alkaline phosphatase, acid phosphatase, C4 esterase, C14 lipase and valine arylamidase were found to differentiate strain 116 from Psychrobacter glacincola. On the basis of this phenotypic and molecular evidences, strain 116, previously known as Sphingomonas paucimobilis 116, was recognized as a new species of the genus Psychrobacter for which the name Psychrobacter proteolyticus is proposed. Strain 116 has been deposited in the Collection de I'Intsitut Pasteur, France, as CIP106830(T) and in the Deutsche: Sammlung von Mikroorganismen and Zellkulturen, as DSM13887(.)(T)</t>
  </si>
  <si>
    <t>Univ Vienna, Inst Mikrobiol &amp; Genet, Bioctr, A-1030 Vienna, Austria; Vet Met Univ Wien, Inst Bakteriol Mykol &amp; Hyg, Vienna, Austria; Tech Univ Lodz, Inst Tech Biochem, PL-90924 Lodz, Poland</t>
  </si>
  <si>
    <t>University of Vienna; University of Veterinary Medicine Vienna; Lodz University of Technology</t>
  </si>
  <si>
    <t>Univ Vienna, Inst Mikrobiol &amp; Genet, Bioctr, Waehringer Guertel 18, A-1030 Vienna, Austria.</t>
  </si>
  <si>
    <t>denner@gem.univie.ac.at</t>
  </si>
  <si>
    <t>Denner, Ewald B. M./0000-0002-0168-6716</t>
  </si>
  <si>
    <t>ELSEVIER GMBH</t>
  </si>
  <si>
    <t>MUNICH</t>
  </si>
  <si>
    <t>HACKERBRUCKE 6, 80335 MUNICH, GERMANY</t>
  </si>
  <si>
    <t>0723-2020</t>
  </si>
  <si>
    <t>1618-0984</t>
  </si>
  <si>
    <t>SYST APPL MICROBIOL</t>
  </si>
  <si>
    <t>Syst. Appl. Microbiol.</t>
  </si>
  <si>
    <t>10.1078/0723-2020-00006</t>
  </si>
  <si>
    <t>435BA</t>
  </si>
  <si>
    <t>WOS:000168850600006</t>
  </si>
  <si>
    <t>Mergaert, J; Verhelst, A; Cnockaert, MC; Tan, TL; Swings, J</t>
  </si>
  <si>
    <t>Characterization of facultative oligotrophic bacteria from polar seas by analysis of their fatty acids and 16S rDNA sequences</t>
  </si>
  <si>
    <t>facultative oligotrophic bacteria; polar seas; fatty acid analysis; 16S rDNA sequencing</t>
  </si>
  <si>
    <t>NATURAL MINERAL WATERS; GAS VACUOLATE BACTERIA; SP-NOV; MARINE-BACTERIA; GEN-NOV; PSYCHROPHILIC BACTERIA; FAMILY HALOMONADACEAE; CLASS PROTEOBACTERIA; ALPHA-SUBCLASS; ICE</t>
  </si>
  <si>
    <t>One hundred and seventy three bacterial strains, isolated previously after enrichment under oligotrophic, psychrophylic conditions from Arctic (98 strains) and Antarctic seawater (75 strains), were characterized by gas-liquid chromatographic analysis of their fatty acid compositions. By numerical analysis, 8 clusters, containing 2 to 59 strains, could be delineated, and 8 strains formed separate branches. Five clusters contained strains from both poles, two minor clusters were confined cc Arctic isolates, and one cluster consisted of Antarctic isolates only. The 16S rRNA genes from 23 strains, representing the different fatty acid profile clusters and including the unclustered strains, were sequenced. The sequences grouped with the alpha and gamma Proteobacteria, the high percent G+C Gram positives, and the Cytophaga-Flavobacterium-Bacteroides branch. The sequences of strains from 4 clusters and of 7 unclustered strains were closely related (sequence similarities above 97%) to reference sequences of Sulfitobacter mediterraneus, Halomonas variabilis, Alteromonas mncleodii, Pseudoalteromonas species, Shewanella frigidimarina, and Rhodococcus fascians. Strains from the other four clusters and an unclustered strain showed sequence similarities below 97% with nearest named neighbours, including Rhizobium, Glaciecola, Pseudomonas, Alteromonas macleodii and Cytophaga marinoflava, indicating that the clusters which they represent form as yet unnamed rare.</t>
  </si>
  <si>
    <t>State Univ Ghent, Vakgrp Biochem Fysiol &amp; Microbiol, Microbiol Lab, B-9000 Ghent, Belgium; State Univ Ghent, BCCM, LMG Culture Collect, B-9000 Ghent, Belgium; Alfred Wegener Inst Polar &amp; Meeresforsch, Bremerhaven, Germany</t>
  </si>
  <si>
    <t>Ghent University; Ghent University; Helmholtz Association; Alfred Wegener Institute, Helmholtz Centre for Polar &amp; Marine Research</t>
  </si>
  <si>
    <t>Mergaert, J (corresponding author), State Univ Ghent, Vakgrp Biochem Fysiol &amp; Microbiol, Microbiol Lab, KL Ledeganckstr 35, B-9000 Ghent, Belgium.</t>
  </si>
  <si>
    <t>10.1078/0723-2020-00012</t>
  </si>
  <si>
    <t>WOS:000168850600012</t>
  </si>
  <si>
    <t>Eichler, A; Schwikowski, M; Gäggeler, HW</t>
  </si>
  <si>
    <t>Meltwater-induced relocation of chemical species in Alpine firn</t>
  </si>
  <si>
    <t>GREENLAND ICE-CORE; SOLID-SOLUTION; ANTARCTIC ICE; MAJOR IONS; SNOW; ACID; THERMODYNAMICS; PRECIPITATION; CHEMISTRY; KINETICS</t>
  </si>
  <si>
    <t>In order to interpret glaciochemical records with respect to the history of air pollution, an understanding of post-depositional processes taking place in fim and ice is crucial. In a 13-m firn section of an Alpine ice core. we observed a drastic disturbance of the concentration records of certain ionic species which we attribute to the inflow of meltwater. This observation opened up the possibility to investigate the effects of leaching processes on the chemical composition of a natural firn layer. Species were leached with different efficiencies: Whereas the normal seasonal pattern of the concentrations of NH4+, F-, Cl-, and NO3- and of the delta O-18 values was preserved. concentrations of K+, Na+, Mg2+, Ca2+, and SO42- were significantly decreased. From the patterns of the concentration ratios the elution sequence SO42- &gt; Ca2+ similar to Mg2+ &gt; K+ similar to Na+ much greater than NO3- &gt; NH4+ F- &gt; Cl- was established, which could be explained by ion rearrangement during snow metamorphism. An incorporation of the species Cl-, F-, NH4+, and NO3- into the ice lattice during grain growth caused their least efficient scavenging by percolating meltwater. In contrast, the predominate exclusion of the ions SO42-, Ca2+, Mg2+, K+ and Na+ from the ice lattice due to their low solubility in ice and the subsequent segregation at grain surfaces led to the fast removal of these species from the firn layer.</t>
  </si>
  <si>
    <t>Paul Scherrer Inst, CH-5232 Villigen, Switzerland; Univ Bern, Dept Chem &amp; Biochem, CH-3012 Bern, Switzerland</t>
  </si>
  <si>
    <t>Swiss Federal Institutes of Technology Domain; Paul Scherrer Institute; University of Bern</t>
  </si>
  <si>
    <t>Schwikowski, M (corresponding author), Paul Scherrer Inst, CH-5232 Villigen, Switzerland.</t>
  </si>
  <si>
    <t>Eichler, Anja/A-2132-2014</t>
  </si>
  <si>
    <t>Eichler, Anja/0000-0003-0206-7463; Schwikowski, Margit/0000-0002-0856-5183</t>
  </si>
  <si>
    <t>10.1034/j.1600-0889.2001.d01-15.x</t>
  </si>
  <si>
    <t>451PP</t>
  </si>
  <si>
    <t>WOS:000169810700006</t>
  </si>
  <si>
    <t>Brockington, S; Clarke, A</t>
  </si>
  <si>
    <t>The relative influence of temperature and food on the metabolism of a marine invertebrate</t>
  </si>
  <si>
    <t>Sterechinus neumayeri; metabolism; Antarctica</t>
  </si>
  <si>
    <t>BRACHIOPOD LIOTHYRELLA-UVA; SUMMER METABOLISM; GROWTH; AMMONIA; ENERGY; CYCLE; LIFE; ECHINODERMATA; MITOCHONDRIA; ACCLIMATION</t>
  </si>
  <si>
    <t>Many benthic marine invertebrates exhibit a seasonal cycle in activities such as feeding, growth and reproduction. In temperate regions, this seasonality is typically correlated with coincident cycles in photoperiod, temperature and food availability and it can be difficult to determine which of these environmental factors is the key driver. Polar regions are characterised by greatly reduced seasonal variation in temperature, and an enhanced seasonality of food availability; they therefore form a natural laboratory for distinguishing the ecological effects of food from those of temperature. Here, we report a study of the common shallow water urchin Sterchinus neumayeri from Rothera Point, Antarctica. This species exhibits a marked seasonal variation in metabolic rate and feeding activity (which ceases completely in winter). In this study the metabolic rate of urchins collected in late winter and held in the laboratory without food was compared with that of wild urchins undertaking the transition to summer feeding and growth. Starved urchins showed a small rise in metabolic rate in summer which could be explained entirely by the small increase in temperature (Q(10) = 2.5). At the same time, the wild population showed a much larger increase in metabolic rate related largely to the costs of feeding and growth. Rates of nitrogen excretion were also much larger in wild urchins, and the O:N atomic ratio indicated that starved urchins were depending to a greater extent on lipid and carbohydrate. Gut mass and test organic content showed no change in starved urchins, indicating that metabolic substrate was being provided by the gonad. The data suggest that in wild S. neumayeri only 15-20% of the summer increase in metabolism is caused directly by the temperature rise whereas 80-85% is caused by increased physiological activity associated with feeding, growth and spawning. (C) 2001 Elsevier Science B.V. All rights reserved.</t>
  </si>
  <si>
    <t>sbro@bas.ac.uk</t>
  </si>
  <si>
    <t>MAR 30</t>
  </si>
  <si>
    <t>10.1016/S0022-0981(00)00347-6</t>
  </si>
  <si>
    <t>414BK</t>
  </si>
  <si>
    <t>WOS:000167645900006</t>
  </si>
  <si>
    <t>Tabazadeh, A; Jensen, EJ; Toon, OB; Drdla, K; Schoeberl, MR</t>
  </si>
  <si>
    <t>Role of the stratospheric polar freezing belt in denitrification</t>
  </si>
  <si>
    <t>NITRIC-ACID TRIHYDRATE; HYDROGEN-CHLORIDE; PARTICLE-SIZE; OZONE; CLOUDS; HNO3; WINTER; NITRATE; LOSSES; GROWTH</t>
  </si>
  <si>
    <t>Homogeneous freezing of nitric acid hydrate particles can produce a polar freezing belt in either hemisphere that can cause denitrification. Computed denitrification profiles for one Antarctic and two Arctic cold winters are presented. The vertical range over which denitrification occurs is normally quite deep in the Antarctic but limited in the Arctic. A 4 kelvin decrease in the temperature of the Arctic stratosphere due to anthropogenic and/or natural effects can trigger the occurrence of widespread severe denitrification. Ozone loss is amplified in a denitrified stratosphere, so the effects of falling temperatures in promoting denitrification must be considered in assessment studies of ozone recovery trends.</t>
  </si>
  <si>
    <t>NASA, Ames Res Ctr, Div Earth Sci, Moffett Field, CA 94035 USA; Univ Colorado, Program Atmospher &amp; Ocean Sci, Atmospher &amp; Space Phys Lab, Boulder, CO 80309 USA; NASA, Goddard Space Flight Ctr, Greenbelt, MD 20771 USA</t>
  </si>
  <si>
    <t>National Aeronautics &amp; Space Administration (NASA); NASA Ames Research Center; University of Colorado System; University of Colorado Boulder; National Aeronautics &amp; Space Administration (NASA); NASA Goddard Space Flight Center</t>
  </si>
  <si>
    <t>NASA, Ames Res Ctr, Div Earth Sci, MS-245-4, Moffett Field, CA 94035 USA.</t>
  </si>
  <si>
    <t>atabazadeh@mail.arc.nasa.gov</t>
  </si>
  <si>
    <t>10.1126/science.1057228</t>
  </si>
  <si>
    <t>417XP</t>
  </si>
  <si>
    <t>WOS:000167861000038</t>
  </si>
  <si>
    <t>Herman, JR; Celarier, E; Larko, D</t>
  </si>
  <si>
    <t>UV 380 nm reflectivity of the Earth's surface, clouds and aerosols</t>
  </si>
  <si>
    <t>2nd AGU Chapman Conference on Water Vapor in the Climate System</t>
  </si>
  <si>
    <t>OCT 12-15, 1999</t>
  </si>
  <si>
    <t>POTOMAC, MARYLAND</t>
  </si>
  <si>
    <t>SATELLITE MEASUREMENTS; ULTRAVIOLET-RADIATION; TOTAL OZONE; ERBE DATA; TOMS; RADIANCES; ISCCP</t>
  </si>
  <si>
    <t>The 380 nm radiance measurements of the Total Ozone Mapping Spectrometer (TOMS) have been converted into a global data set of daily (1979-1992) Lambert equivalent reflectivities R of the Earth's surface and boundary layer (clouds, aerosols, surface haze, and snow/ice) and then corrected to R,, for the presence of partly clouded scenes. Since UV surface reflectivity is between 2 and 8% for both land and water during all seasons of the year (except for ice and snow cover), reflectivities larger than the surface value indicate the presence of clouds, haze, or aerosols in the satellite field of view. A statistical analysis of 14 years of daily reflectivity data shows that most snow-/ice-free scenes observed by TOMS have a reflectivity less than 10% for the majority of days during a year. The 380 nm reflectivity data show that the true surface reflectivity is 2-3% lower than the most frequently occurring reflectivity value for each TOMS scene as seen from space. Most likely the cause is a combination of frequently occurring boundary layer water and/or aerosol haze. For most regions the observation of extremely clear conditions needed to estimate the surface reflectivity from space is a comparatively rare occurrence. Certain areas (e.g., Australia, southern Africa, portions of northern Africa) are cloud-free more than 80% of the year, which exposes these regions to larger amounts of UV radiation than at comparable latitudes in the Northern Hemisphere. Regions over rain forests, jungle areas, Europe and Russia, the bands surrounding the Arctic and Antarctic regions, and many ocean areas have significant cloud cover (R &gt; 15%) more than half of each year. In the low to middle latitudes the areas with the heaviest cloud cover (highest reflectivity for most of the year) are the forest areas of northern South America, southern Central America, the jungle areas of equatorial Africa, and high mountain regions such as the Himalayas or the Andes. The TOMS reflectivity data show both the presence of large nearly clear ocean areas and the effects of the major ocean currents on cloud production.</t>
  </si>
  <si>
    <t>NASA, Goddard Space Flight Ctr, Greenbelt, MD 20771 USA; SGT Corp, Greenbelt, MD 20770 USA; Raytheon ITSS, Lanham, MD 20706 USA</t>
  </si>
  <si>
    <t>Herman, JR (corresponding author), NASA, Goddard Space Flight Ctr, Greenbelt, MD 20771 USA.</t>
  </si>
  <si>
    <t>Herman, Jay/0000-0002-9146-1632</t>
  </si>
  <si>
    <t>MAR 27</t>
  </si>
  <si>
    <t>D6</t>
  </si>
  <si>
    <t>10.1029/2000JD900584</t>
  </si>
  <si>
    <t>413XB</t>
  </si>
  <si>
    <t>WOS:000167635900017</t>
  </si>
  <si>
    <t>Herman, JR; Larko, D; Celarier, E; Ziemke, J</t>
  </si>
  <si>
    <t>Changes in the Earth's UV reflectivity from the surface, clouds, and aerosols</t>
  </si>
  <si>
    <t>ULTRAVIOLET-RADIATION; SATELLITE ESTIMATION; OPTICAL-THICKNESS; TOTAL OZONE; TOMS; IRRADIANCE</t>
  </si>
  <si>
    <t>Measurements of the Earth's 380 nm UV reflectivity combine the effects of surface reflectivity, aerosols, haze, cloud optical thickness, and the fraction of the scene covered by clouds. Changes in UV cloud and aerosol reflectivity would imply similar changes over a wide range of wavelengths, UV, visible, and near infrared (at least 0.3 to 2 mum), affecting both the transmission of radiation to the Earth's surface and the reflection back to space. Using the TOMS (Total Ozone Mapping Spectrometer) 380 nm reflectivity data, the 14-year annual mean power reflected back to space is 385.3 +/- 31 W/m(2), mostly by clouds, aerosols, and snow/ice. On the basis of measured long-term changes in global reflectivity, it is estimated that there is an additional 2.8 +/- 2.8 W/m(2) per decade reflected back to space (2 standard deviation error estimate) during the TOMS observing period of 1979-1992. Since the 380 nm surface reflectivity is low (2-8%) over most surfaces, water and land, the observed reflectivity changes are mostly caused by changes in the amount of snow/ice, cloudiness, and aerosols. Time series analysis of TOMS reflectivity over the period from 1979 to 1992 shows that there were no significant changes in annually averaged zonal-average reflectivity at latitudes within 60 degreesS-60 degreesN, even though there were changes at higher latitudes (e.g., 3% per decade, in reflectivity units, between 60 degreesN and 70 degreesN). When the effects of the 11.3-year solar cycle and ENSO (El Nino-Southern Oscillation) are removed from the data, statistically significant reflectivity changes are observed poleward of both 40 degreesS and 40 degreesN. The presence of a statistically significant 11.3-year periodicity in the reflectivity time series correlates with the solar cycle and suggests a possible Sun-weather relationship. There are significant regional changes in reflectivity R over land and ocean areas that affect the amount of solar radiation reaching the surface. The largest of these regions have decreases in R of 3 to 6 +/- 1% per decade in central Europe, the western United States, central China, and western Russia. These decreases are offset by increases in the same latitude bands mostly over the oceans. The largest regions showing an increase in R are off the western coast of South America (near Chile and Peru), 5 to 8 +/- 1%/decade and over the Weddell Sea in Antarctica of 10%/decade, but no change over the ice shelf and continent. The largest increase in R occurs over the ocean just to the north of Antarctica. This change is important because it reduces UV radiation overall (290-400 nm) and partially offsets the effect of the increased amount of UV-B radiation (290-320 nm) caused by decreasing Antarctic ozone.</t>
  </si>
  <si>
    <t>NASA, Goddard Space Flight Ctr, Atmospheres Lab, Greenbelt, MD 20771 USA; Raytheon STX Corp, Lanham, MD 20706 USA; Software Corp Amer, Beltsville, MD USA</t>
  </si>
  <si>
    <t>Herman, JR (corresponding author), NASA, Goddard Space Flight Ctr, Atmospheres Lab, Code 916, Greenbelt, MD 20771 USA.</t>
  </si>
  <si>
    <t>10.1029/2000JD900435</t>
  </si>
  <si>
    <t>WOS:000167635900018</t>
  </si>
  <si>
    <t>Papayannis, DK; Kosmas, AM; Melissas, VSR</t>
  </si>
  <si>
    <t>Quantum mechanical studies on the BrO plus ClO reaction</t>
  </si>
  <si>
    <t>ANTARCTIC OZONE; TEMPERATURE-DEPENDENCE; VIBRATIONAL-SPECTRA; PERTURBATION-THEORY; CHLORINE DIOXIDE; RATE-CONSTANT; GROUND-STATE; AB-INITIO; KINETICS; OXIDES</t>
  </si>
  <si>
    <t>Geometries for possible transition states and energy minima of the potential-energy surface for the reaction between BrO and ClO radicals and for conformers of ClOOBr peroxide have been identified and harmonic frequency calculations have been carried out at the second-order Moller-Plesset perturbation theory level using the 6-311++G(2d) and the 6-311++G(3df) basis sets. The energetics have been studied using the CCSD(T)/6-311++G(3df) methodology at the MP2 calculated geometries. The results assist in the qualitative understanding of the mechanism and the kinetics of the stratospherically important BrO + ClO reaction.</t>
  </si>
  <si>
    <t>Univ Ioannina, Dept Chem, Phys Chem Lab, GR-45110 Ioannina, Greece; NRCPS Demokritos, Inst Phys Chem, Mol Modeling Mat Lab, GR-15310 Athens, Greece</t>
  </si>
  <si>
    <t>University of Ioannina; National Centre of Scientific Research Demokritos</t>
  </si>
  <si>
    <t>Kosmas, AM (corresponding author), Univ Ioannina, Dept Chem, Phys Chem Lab, GR-45110 Ioannina, Greece.</t>
  </si>
  <si>
    <t>1520-5215</t>
  </si>
  <si>
    <t>MAR 22</t>
  </si>
  <si>
    <t>10.1021/jp002536c</t>
  </si>
  <si>
    <t>413VN</t>
  </si>
  <si>
    <t>WOS:000167632400010</t>
  </si>
  <si>
    <t>Andrés, E; Askebjer, P; Bai, X; Barouch, G; Barwick, SW; Bay, TC; Becker, KH; Bergström, L; Bertrand, D; Bierenbaum, D; Biron, A; Booth, J; Botner, O; Bouchta, A; Boyce, MM; Carius, S; Chen, A; Chirkin, D; Conrad, J; Cooley, J; Costa, CGS; Cowen, DF; Dailing, J; Dalberg, E; DeYoung, T; Desiati, P; Dewulf, JP; Doksus, P; Edsjö, J; Ekström, P; Erlandsson, B; Feser, T; Gaug, M; Goldschmidt, A; Goobar, A; Gray, L; Haase, H; Hallgren, A; Halzen, F; Hanson, K; Hardtke, R; He, YD; Hellwig, M; Heukenkamp, H; Hill, GC; Hulth, PO; Hundertmark, S; Jacobsen, J; Kandhadai, V; Karle, A; Kim, J; Koci, B; Köpke, L; Kowalski, M; Leich, H; Leuthold, M; Lindal, P; Liubarsky, I; Loaiza, P; Lowder, DM; Ludvig, J; Madsen, J; Marciniewski, P; Matis, HS; Mihalyi, A; Mikolajski, T; Miller, TC; Minaeva, Y; Miocinovic, P; Mock, PC; Morse, R; Neunhöffer, T; Newcomer, FM; Niessen, P; Nygren, DR; Ögelman, H; de los Heros, CP; Porrata, R; Price, PB; Rawlins, K; Reed, C; Rhode, W; Richards, A; Richter, S; Martino, JR; Romenesko, P; Ross, D; Rubinstein, H; Sander, HG; Scheider, T; Schmidt, T; Schneider, D; Schneider, E; Schwarz, R; Silvestri, A; Solarz, M; Spiczak, GM; Spiering, C; Starinsky, N; Steele, D; Steffen, P; Stokstad, RG; Usechak, N; Vander Donckt, M; Walck, C; Weinheimer, C; Wiebusch, CH; Wischnewski, R; Wissing, H; Woschnagg, K; Wu, W; Yodh, G; Young, S</t>
  </si>
  <si>
    <t>Observation of high-energy neutrinos using Cerenkov detectors embedded deep in Antarctic ice</t>
  </si>
  <si>
    <t>ASTRONOMY; MUONS; FLUX</t>
  </si>
  <si>
    <t>Neutrinos are elementary particles that carry no electric charge and have little mass. As they interact only weakly with other particles, they can penetrate enormous amounts of matter, and therefore have the potential to directly convey astrophysical information from the edge of the Universe and from deep inside the most cataclysmic high-energy regions(1). The neutrino's great penetrating power, however, also makes this particle difficult to detect. Underground detectors have observed low-energy neutrinos from the Sun and a nearby supernova(2), as well as neutrinos generated in the Earth's atmosphere. But the very low fluxes of high-energy neutrinos from cosmic sources can be observed only by much larger, expandable detectors in, for example, deep water(3,4) or ice(5). Here we report the detection of upwardly propagating atmospheric neutrinos by the ice-based Antarctic muon and neutrino detector array (AMANDA). These results establish a technology with which to build a kilometre-scale neutrino observatory necessary for astrophysical observations(1).</t>
  </si>
  <si>
    <t>Univ Wisconsin, Dept Phys, Madison, WI 53706 USA; Univ Stockholm, Fysikum, S-11385 Stockholm, Sweden; Univ Delaware, Bartol Res Inst, Newark, DE 19716 USA; Univ Calif Irvine, Dept Phys &amp; Astron, Irvine, CA 92697 USA; Univ Calif Berkeley, Dept Phys, Berkeley, CA 94720 USA; Berg Univ Gesamthsch Wuppertal, Fachbereich Phys 8, D-42097 Wuppertal, Germany; Free Univ Brussels, Fac Sci, B-1050 Brussels, Belgium; DESY Zeuthen, D-15735 Zeuthen, Germany; Univ Uppsala, Dept Radiat Sci, S-75121 Uppsala, Sweden; Kalmar Univ, Dept Technol, S-39129 Kalmar, Sweden; Univ Penn, Dept Phys &amp; Astron, Philadelphia, PA 19104 USA; Univ Mainz, Inst Phys, D-55099 Mainz, Germany; Univ Calif Berkeley, Lawrence Berkeley Lab, Inst Nucl &amp; Particle Astrophys, Berkeley, CA 94720 USA</t>
  </si>
  <si>
    <t>University of Wisconsin System; University of Wisconsin Madison; Stockholm University; University of Delaware; University of California System; University of California Irvine; University of California System; University of California Berkeley; University of Wuppertal; Universite Libre de Bruxelles; Helmholtz Association; Deutsches Elektronen-Synchrotron (DESY); Uppsala University; University of Kalmar; Linnaeus University; University of Pennsylvania; Johannes Gutenberg University of Mainz; University of California System; University of California Berkeley; United States Department of Energy (DOE); Lawrence Berkeley National Laboratory</t>
  </si>
  <si>
    <t>Halzen, F (corresponding author), Univ Wisconsin, Dept Phys, 1150 Univ Ave, Madison, WI 53706 USA.</t>
  </si>
  <si>
    <t>Gaug, Markus/L-2340-2014; DeYoung, Tyce/O-6895-2019; Wiebusch, Christopher H.V./G-6490-2012; Matis, Howard S/HMV-9747-2023; Loaiza, Pia/D-5861-2013; Botner, Olga/A-9110-2013; Hundertmark, Stephan/A-6592-2010; Hallgren, Allan/A-8963-2013; Matis, Howard/AAO-2082-2021; Diaz Velez, Juan Carlos/T-2788-2018; Kowalski, Marek/G-5546-2012</t>
  </si>
  <si>
    <t>Gaug, Markus/0000-0001-8442-7877; DeYoung, Tyce/0000-0003-4873-3783; Wiebusch, Christopher H.V./0000-0002-6418-3008; Matis, Howard S/0000-0003-0764-4389; Spiczak, Glenn/0000-0002-0030-0519; Diaz Velez, Juan Carlos/0000-0002-0087-0693; Rhode, Wolfgang/0000-0003-2636-5000; Perez de los Heros, Carlos/0000-0002-2084-5866; Hill, Gary/0000-0001-8881-6802; Costa, Cesar/0000-0003-2134-3558; Taboada, Ignacio/0000-0003-3509-3457; Loaiza, Pia/0000-0003-3957-3204; Kowalski, Marek/0000-0001-8594-8666; Cooley, Jodi/0000-0001-6761-2042</t>
  </si>
  <si>
    <t>10.1038/35068509</t>
  </si>
  <si>
    <t>412YX</t>
  </si>
  <si>
    <t>WOS:000167583800033</t>
  </si>
  <si>
    <t>Polyak, L; Edwards, MH; Coakley, BJ; Jakobsson, M</t>
  </si>
  <si>
    <t>Ice shelves in the Pleistocene Arctic Ocean inferred from glaciogenic deep-sea bedforms</t>
  </si>
  <si>
    <t>YERMAK PLATEAU; ICEBERG PLOWMARKS; SHEET; SIDESCAN; HISTORY; FRONTS</t>
  </si>
  <si>
    <t>It has been proposed that during Pleistocene glaciations, an ice cap of 1 kilometre or greater thickness covered the Arctic Ocean(1-3). This notion contrasts with the prevailing view that the Arctic Ocean was covered only by perennial sea ice with scattered icebergs(4-6). Detailed mapping of the ocean floor is the best means to resolve this issue. Although sea-floor imagery has been used to reconstruct the glacial history of the Antarctic shelf(7-9), little data have been collected in the Arctic Ocean because of operational constraints(10,11). The use of a geophysical mapping system during the submarine SCICEX expedition in 1999(12) provided the opportunity to perform such an investigation over a large portion of the Arctic Ocean. Here we analyse backscatter images and sub-bottom profiler records obtained during this expedition from depths as great as 1 kilometre. These records show multiple bedforms indicative of glacial scouring and moulding of sea floor, combined with large-scale erosion of submarine ridge crests. These distinct glaciogenic features demonstrate that immense, Antarctic-type ice shelves up to 1 kilometre thick and hundreds of kilometres long existed in the Arctic Ocean during Pleistocene glaciations.</t>
  </si>
  <si>
    <t>Ohio State Univ, Byrd Polar Res Ctr, Columbus, OH 43210 USA; Univ Hawaii, Hawaii Inst Geophys &amp; Planetol, Hawaii Mapping Res Grp, Honolulu, HI 96822 USA; Tulane Univ, Dept Geol, New Orleans, LA 70118 USA; Univ Stockholm, Dept Geol &amp; Geochem, S-10691 Stockholm, Sweden</t>
  </si>
  <si>
    <t>University System of Ohio; Ohio State University; University of Hawaii System; Tulane University; Stockholm University</t>
  </si>
  <si>
    <t>Ohio State Univ, Byrd Polar Res Ctr, Columbus, OH 43210 USA.</t>
  </si>
  <si>
    <t>polyak.1@osu.edu</t>
  </si>
  <si>
    <t>Jakobsson, Martin/F-6214-2010; Jakobsson, Martin/JAN-6828-2023</t>
  </si>
  <si>
    <t>Jakobsson, Martin/0000-0002-9033-3559</t>
  </si>
  <si>
    <t>10.1038/35068536</t>
  </si>
  <si>
    <t>WOS:000167583800037</t>
  </si>
  <si>
    <t>Pearce, JA; Leat, PT; Barker, PF; Millar, IL</t>
  </si>
  <si>
    <t>Geochemical tracing of Pacific-to-Atlantic upper-mantle flow through the Drake passage</t>
  </si>
  <si>
    <t>AUSTRALIAN-ANTARCTIC DISCORDANCE; EAST-SCOTIA RIDGE; CHILE RIDGE; BASALTS; ISOTOPE; PLUME; OCEAN; CONVECTION; ELEMENT; ORIGIN</t>
  </si>
  <si>
    <t>The Earth's convecting upper mantle can be viewed as comprising three main reservoirs, beneath the Pacific, Atlantic and Indian oceans. Because of the uneven global distribution and migration of ridges and subduction zones, the surface area of the Pacific reservoir is at present contracting at about 0.6 km(2) yr(-1), while the Atlantic and Indian reservoirs are growing at about 0.45 km(2) yr(-1) and 0.15 km(2) yr(-1), respectively(1,2). Garfunkel(1) and others have argued that there must accordingly be net mantle flow from the Pacific to the Atlantic and Indian reservoirs (in order to maintain mass balance), and Alvarez(2) further predicted that this flow should be restricted to the few parts of the Pacific rim (here termed 'gateways') where there are no continental roots or subduction zones that might act as barriers to shallow mantle flow. The main Pacific gateways are, according to Alvarez(2,3), the southeast Indian Ocean, the Caribbean Sea and the Drake passage. Here we report geochemical data which confirm that there has been some outflow of Pacific mantle into the Drake passage-but probably in response to regional tectonic constraints, rather than global mass-balance requirements. We also show that a mantle domain boundary, equivalent to the Australian-Antarctic discordance, must lie between the Drake passage and the east Scotia Sea.</t>
  </si>
  <si>
    <t>Cardiff Univ, Dept Earth Sci, Cardiff CF10 3YE, S Glam, Wales; British Antarctic Survey, Cambridge CB3 0ET, England</t>
  </si>
  <si>
    <t>Cardiff University; UK Research &amp; Innovation (UKRI); Natural Environment Research Council (NERC); NERC British Antarctic Survey</t>
  </si>
  <si>
    <t>Pearce, JA (corresponding author), Cardiff Univ, Dept Earth Sci, Cardiff CF10 3YE, S Glam, Wales.</t>
  </si>
  <si>
    <t>Pearce, Julian A/C-5807-2009; Millar, Ian L/F-1541-2010</t>
  </si>
  <si>
    <t>10.1038/35068542</t>
  </si>
  <si>
    <t>WOS:000167583800038</t>
  </si>
  <si>
    <t>Read, AJ</t>
  </si>
  <si>
    <t>Trends in the maternal investment of harbour porpoises are uncoupled from the dynamics of their primary prey</t>
  </si>
  <si>
    <t>harbour porpoises; herring; maternal investment; stock assessment</t>
  </si>
  <si>
    <t>ANTARCTIC FUR SEALS; PHOCOENA-PHOCOENA L; INCIDENTAL CATCH; BAY; REPRODUCTION; GROWTH</t>
  </si>
  <si>
    <t>Harbour porpoises in the Bay of Fundy and Gulf of Maine feed primarily on Atlantic herring. Herring stocks have undergone dramatic fluctuations in abundance over the past three decades due to changes in fishing intensity. In order to understand the effects of these changes in prey abundance on the patterns of maternal investment, I examined interdecadal variation in the size of porpoise calves measured in August prior to weaning. Female harbour porpoises exhibited significant variation in maternal investment between 1970 and 1999. During the 1980s, females consumed more herring and produced larger calves. Surprisingly, however, this increased maternal investment occurred during the period of lowest prey abundance, perhaps because the herring stock assessment does not reflect the availability or quality of prey to female porpoises.</t>
  </si>
  <si>
    <t>Duke Univ, Marine Lab, Beaufort, NC 28516 USA</t>
  </si>
  <si>
    <t>Duke University</t>
  </si>
  <si>
    <t>Duke Univ, Marine Lab, 135 Duke Marine Lab Rd, Beaufort, NC 28516 USA.</t>
  </si>
  <si>
    <t>aread@duke.edu</t>
  </si>
  <si>
    <t>Read, Andrew/AAE-8386-2019</t>
  </si>
  <si>
    <t>10.1098/rspb.2000.1419</t>
  </si>
  <si>
    <t>414NC</t>
  </si>
  <si>
    <t>WOS:000167671900003</t>
  </si>
  <si>
    <t>Wagner, T; Leue, C; Pfeilsticker, K; Platt, U</t>
  </si>
  <si>
    <t>Monitoring of the stratospheric chlorine activation by Global Ozone Monitoring Experiment (GOME) OClO measurements in the austral and boreal winters 1995 through 1999</t>
  </si>
  <si>
    <t>OPTICAL-ABSORPTION SPECTROSCOPY; POLAR VORTEX CONDITIONS; ANTARCTIC OZONE; SAM-II; LIDAR OBSERVATIONS; INTERHEMISPHERIC DIFFERENCES; VISIBLE SPECTROSCOPY; MLS OBSERVATIONS; CLOUDS; HCL</t>
  </si>
  <si>
    <t>Measurements of OClO total column amounts by means of the Global Ozone Monitoring Experiment (GOME) instrument conducted in the austral and boreal winter stratospheres from 1995 through 1999 are presented. GOME is a four-channel UV/visible spectrometer (240-790 nm) deployed on the polar orbiting European ERS-2 satellite since April 1995. Previous studies have shown that the observations of OClO, the symmetric chlorine dioxide formed in a side channel of the reaction of BrO + ClO, can serve as an indicator for a stratospheric chlorine activation. GOME's 3-day coverage of the global atmosphere allows us to infer the first global data set of OClO, and to study continuous time series of its occurrence in both winter stratospheres. It is found that, while OClO regularly occurs over Antarctica in similar amounts and seasonal timing during the different winters, its occurrence is much more variable in the Arctic winter stratosphere, primarily because of the larger dynamic activity that result in warmer temperatures there. About 40% higher OClO column amounts are found in the Antarctic polar stratosphere than in its northern counterpart, a further indication for a significantly more efficient chlorine activation in the Antarctic than the Arctic late winter and spring stratosphere.</t>
  </si>
  <si>
    <t>Heidelberg Univ, Inst Umweltphys, D-69120 Heidelberg, Germany; NOAA, Aeron Lab, Boulder, CO 80303 USA</t>
  </si>
  <si>
    <t>Ruprecht Karls University Heidelberg; National Oceanic Atmospheric Admin (NOAA) - USA</t>
  </si>
  <si>
    <t>Wagner, T (corresponding author), Heidelberg Univ, Inst Umweltphys, Neuenheimer Feld 229, D-69120 Heidelberg, Germany.</t>
  </si>
  <si>
    <t>thomas.wagner@iup.uni-heidelberg.de</t>
  </si>
  <si>
    <t>MAR 16</t>
  </si>
  <si>
    <t>D5</t>
  </si>
  <si>
    <t>10.1029/2000JD900458</t>
  </si>
  <si>
    <t>411DM</t>
  </si>
  <si>
    <t>WOS:000167482900021</t>
  </si>
  <si>
    <t>Lewis, AC; Carpenter, LJ; Pilling, MJ</t>
  </si>
  <si>
    <t>Nonmethane hydrocarbons in Southern Ocean boundary layer air</t>
  </si>
  <si>
    <t>SURFACE MICROLAYER; DIMETHYL SULFIDE; NORTH-ATLANTIC; MARINE AIR; MACE-HEAD; ISOPRENE; SEAWATER; SEA; ENRICHMENT; MECHANISM</t>
  </si>
  <si>
    <t>Measurements at the remote marine boundary layer station of Cape Grim, Northwest Tasmania, allow study of the unperturbed background atmosphere. Here we present a continuous data series of nonmethane hydrocarbons (NMHCs), measured in situ and with high sensitivity during the Second Southern Ocean Photochemistry Experiment (SOAPEX 2) during austral summer 1999. Air masses arriving at Cape Grim originate from the Australian continent, Tasmania, and Southern Ocean and Antarctic regions. In Southern Ocean marine boundary layer (MBL) air, C-2 and C-3 alkanes show a highly uniform abundance (ethane 142+/-11.9 parts per trillion by volume (pptv), propane 8.9+/-1.7 pptv) at around 4 times lower concentrations than encountered in unpolluted Northern Hemisphere MBL air. The presence of shorter-lived NMHCs in marine air indicates sources of both C-4-C-6 alkanes and several alkenes in the Southern Ocean. The alkane isomer distributions and abundances are in broad agreement with literature sea-air flux rates. In dynamically stable maritime air, midday maxima in ethene, propene, and isoprene concentrations of a few pptv indicate photochemically driven sources very near to the sea surface. Despite their high reactivity, the impact of these ocean ic alkenes on local OH concentrations in remote MBL air is not significant. However, the abundance of isoprene in marine air may significantly elevate formaldehyde above that generated by methane oxidation.</t>
  </si>
  <si>
    <t>Univ Leeds, Sch Chem, Leeds LS2 9JT, W Yorkshire, England; Univ Leeds, Sch Environm, Leeds LS2 9JT, W Yorkshire, England</t>
  </si>
  <si>
    <t>University of Leeds; University of Leeds</t>
  </si>
  <si>
    <t>Lewis, AC (corresponding author), Univ Leeds, Sch Chem, Woodhouse Lane, Leeds LS2 9JT, W Yorkshire, England.</t>
  </si>
  <si>
    <t>Carpenter, Lucy J/E-6742-2013; Carpenter, Laura/JPY-0437-2023; Lewis, Alastair/A-6721-2008</t>
  </si>
  <si>
    <t>Lewis, Alastair/0000-0002-4075-3651; Carpenter, Lucy/0000-0002-6257-3950</t>
  </si>
  <si>
    <t>10.1029/2000JD900634</t>
  </si>
  <si>
    <t>WOS:000167482900022</t>
  </si>
  <si>
    <t>Robert, CM; Exon, NF; Kennett, JP; Malone, MJ; Brinkhuis, H; Chaproniere, GCH; Ennyu, A; Fothergill, P; Fuller, MD; Grauert, M; Hill, PJ; Janecek, TR; Kelly, DC; Latimer, JC; Roessig, KM; Nees, S; Ninnemann, US; Nürnberg, D; Pekar, SF; Pellaton, CC; Pfühl, HA; Röhl, U; Schellenberg, SA; Shevenell, AE; Stickley, CE; Suzuki, N; Touchard, Y; Wei, WC; White, TS</t>
  </si>
  <si>
    <t>Palaeogene ocean opening south of Tasmania, and palaeoceanographic implications:: preliminary results of clay mineral analyses (ODP Leg 189).</t>
  </si>
  <si>
    <t>clays; Palaeogene; Southern Ocean; tectonics; circulation; climate</t>
  </si>
  <si>
    <t>EOCENE; EVOLUTION; ATLANTIC; MARINE</t>
  </si>
  <si>
    <t>Palaeogene ocean opening south of Tasmania, and palaeoceanographic implications: preliminary results of clay mineral analyses (ODP Leg 189). ODP Leg 189 was designed to test the hypothesis that opening of the Tasmanian Seaway and initiation of circumpolar circulation contributed to the thermal isolation of Antarctica, leading to the development of initial ice-sheet and oceanic thermohaline circulation. The clay assemblages of the Tasmanian region contain the traces of two tectonic stages associated with ocean opening south of the south Tasman Rise near the Palaeocene-Eocene boundary and strike-slip activity between the western Tasmanian land-bridge and Antarctica during the Late Eocene. Earliest Oligocene clays indicate that cooling of Antarctic margins and activity of western boundary circulation progressed with the regional subsidence. (C) 2001 Academie des sciences / Editions scientifiques et medicales Elsevier SAS.</t>
  </si>
  <si>
    <t>FRE 2255, Sedimentol &amp; Geodynam, F-13288 Marseille 9, France; Ctr Oceanol Marseille, F-13288 Marseille 9, France; Australian Geol Survey ORg, Canberra, ACT 2601, Australia; Univ Calif Santa Barbara, Dept Geol Sci, Santa Barbara, CA 93106 USA; Texas A&amp;M Univ, Ocean Drilling Program, College Stn, TX 77845 USA; Univ Utrecht, NL-3584 CD Utrecht, Netherlands; Australian Natl Univ, Canberra, ACT 0200, Australia; Penn State Univ, University Pk, PA 16802 USA; Univ Leicester, Leicester LE1 7RH, Leics, England; Univ Hawaii Manoa, Honolulu, HI 96822 USA; Univ Copenhagen, DK-1350 Copenhagen K, Denmark; Florida State Univ, Tallahassee, FL 32306 USA; Woods Hole Oceanog Inst, Woods Hole, MA 02543 USA; Indiana Univ, Bloomington, IN 47405 USA; GeoGeomar, D-24148 Kiel, Germany; Lamont Doherty Earth Observ, Palisades, NY 10964 USA; Univ Geneva, CH-1211 Geneva, Switzerland; Univ Cambridge, Cambridge CB2 3SA, England; Univ Bremen, D-28334 Bremen, Germany; Univ Calif Santa Cruz, Santa Cruz, CA 95064 USA; UCL, London WC1H 0AP, England; Tohoku Univ, Sendai, Miyagi 9808578, Japan; Cerege, F-13545 Aix En Provence 4, France; Univ Calif San Diego, Scripps Inst Oceanog, La Jolla, CA 92093 USA; Univ Iowa, Iowa City, IA 52240 USA</t>
  </si>
  <si>
    <t>Geoscience Australia; University of California System; University of California Santa Barbara; Texas A&amp;M University System; Texas A&amp;M University College Station; Utrecht University; Australian National University; Pennsylvania Commonwealth System of Higher Education (PCSHE); Pennsylvania State University; Pennsylvania State University - University Park; University of Leicester; University of Hawaii System; University of Hawaii Manoa; University of Copenhagen; State University System of Florida; Florida State University; Woods Hole Oceanographic Institution; Indiana University System; Indiana University Bloomington; Columbia University; University of Geneva; University of Cambridge; University of Bremen; University of California System; University of California Santa Cruz; University of London; University College London; Tohoku University; Aix-Marseille Universite; University of California System; University of California San Diego; Scripps Institution of Oceanography; University of Iowa</t>
  </si>
  <si>
    <t>Robert, CM (corresponding author), FRE 2255, Sedimentol &amp; Geodynam, Case 901, F-13288 Marseille 9, France.</t>
  </si>
  <si>
    <t>robert@com.univ-mrs.fr</t>
  </si>
  <si>
    <t>Brinkhuis, Henk/IUO-8165-2023; Brinkhuis, Henk/B-4223-2009; Ennyu, Atsuhito/HJP-8813-2023; shevenell, Amelia/A-4161-2009; Pfuhl, Helen A/D-3255-2009; Shevenell, Amelia E/C-2757-2015; Röhl, Ursula/G-5986-2011</t>
  </si>
  <si>
    <t>Brinkhuis, Henk/0000-0003-0253-6610; Ennyu, Atsuhito/0000-0003-1979-2899; Röhl, Ursula/0000-0001-9469-7053; Kelly, Clay/0000-0002-3241-1635; Exon, Neville/0000-0003-4169-4144</t>
  </si>
  <si>
    <t>23 RUE LINOIS, 75724 PARIS, FRANCE</t>
  </si>
  <si>
    <t>MAR 15</t>
  </si>
  <si>
    <t>10.1016/S1251-8050(01)01539-7</t>
  </si>
  <si>
    <t>427PY</t>
  </si>
  <si>
    <t>WOS:000168415700003</t>
  </si>
  <si>
    <t>Matsumoto, A; Hinkley, TK</t>
  </si>
  <si>
    <t>Trace metal suites in Antarctic pre-industrial ice are consistent with emissions from quiescent degassing of volcanoes worldwide</t>
  </si>
  <si>
    <t>dust; trace metals; Antarctic Polar Cap; volcanism; lead; isotopes</t>
  </si>
  <si>
    <t>CADMIUM CONCENTRATIONS; GREENLAND ICE; SNOW; LEAD; ZINC; PB; PARTICULATE; ENRICHMENT; ELEMENTS; COPPER</t>
  </si>
  <si>
    <t>Trace metals are more abundant in atmospheric load and deposition material than can be due to rock and soil dusts and ocean salt. In pre-industrial ice from coastal west Antarctica, dust and salt account for only a few percent of the lead, cadmium, and indium that is present in most samples, less than half in any sample. For these trace metals, the deposition rate to the pre-industrial ice is approximately matched by the output rate to the atmosphere by quiescent (non-explosive) degassing of volcanoes worldwide, according to a new estimate. The basis of the match is the masses and proportions of the metals, and the proportions of Pb isotopes, in ice and in volcano emissions. The isotopic compositions of Pb in ice are similar to those of a suite of ocean island volcanoes, mostly in the southern hemisphere. The natural baseline values for pre-industrial atmospheric deposition fluxes of trace metal suites at Taylor Dome, and the worldwide quiescent volcano emissions fluxes to which they are linked, constitute a reasonably well-constrained baseline component for deposition fluxes of metals in modern times. (C) 2001 Elsevier Science B.V. All rights reserved.</t>
  </si>
  <si>
    <t>Geol Survey Japan, Tsukuba, Ibaraki 3058567, Japan; US Geol Survey 980, Denver, CO 80225 USA</t>
  </si>
  <si>
    <t>Matsumoto, A (corresponding author), Geol Survey Japan, 1-1-3 Higashi, Tsukuba, Ibaraki 3058567, Japan.</t>
  </si>
  <si>
    <t>10.1016/S0012-821X(01)00228-X</t>
  </si>
  <si>
    <t>413ER</t>
  </si>
  <si>
    <t>WOS:000167597400004</t>
  </si>
  <si>
    <t>Mlynczak, MG; Morgan, F; Yee, JH; Espy, P; Murtagh, D; Marshall, B; Schmidlin, F</t>
  </si>
  <si>
    <t>Simultaneous measurements of the O2(1Δ) and O2(1Σ) airglows and ozone in the daytime mesosphere</t>
  </si>
  <si>
    <t>MODEL; NM</t>
  </si>
  <si>
    <t>We report simultaneous measurements of the O-2((1)Delta) and O-2((1)Sigma) airglow volume emission rate profiles in the daytime mesosphere. We use these measurements to derive ozone concentrations separately from each airglow. The measurements were made as part of the Mesosphere-Thermosphere Emissions for Ozone Remote Sensing (METEORS) sounding rocket project launched from White Sands Missile Range, New Mexico. These data offer the opportunity to assess the consistency of ozone profiles derived from measurements of the oxygen airglows and thus provide a fundamental test of our understanding of dayglow physics and solar energy deposition. In both airglow-derived profiles the ozone decreases with altitude throughout the middle mesosphere and a pronounced secondary maximum exists near 90 km. The derived ozone profiles are in agreement to within measurement uncertainty. This agreement confirms that the major processes responsible for the generation of mesospheric oxygen dayglow are well understood via measurement.</t>
  </si>
  <si>
    <t>NASA, Langley Res Ctr, Hampton, VA 23681 USA; Johns Hopkins Appl Phys Lab, Laurel, MD USA; British Antarctic Survey, Cambridge CB3 0ET, England; Stockholm Univ, S-10691 Stockholm, Sweden; G&amp;A Tech Software, Hampton, VA USA; NASA, Wallops Flight Facil, Wallops Island, VA USA</t>
  </si>
  <si>
    <t>National Aeronautics &amp; Space Administration (NASA); NASA Langley Research Center; Johns Hopkins University; Johns Hopkins University Applied Physics Laboratory; UK Research &amp; Innovation (UKRI); Natural Environment Research Council (NERC); NERC British Antarctic Survey; Stockholm University; National Aeronautics &amp; Space Administration (NASA); NASA Goddard Space Flight Center; Wallops Flight Facility</t>
  </si>
  <si>
    <t>Mlynczak, MG (corresponding author), NASA, Langley Res Ctr, Mail Stop 420, Hampton, VA 23681 USA.</t>
  </si>
  <si>
    <t>Yee, Jeng-Hwa/L-6362-2016; Mlynczak, Martin/K-3396-2012; /F-8694-2011</t>
  </si>
  <si>
    <t>Yee, Jeng-Hwa/0000-0002-8269-424X; /0000-0003-1539-3559</t>
  </si>
  <si>
    <t>10.1029/2000GL012423</t>
  </si>
  <si>
    <t>411JD</t>
  </si>
  <si>
    <t>WOS:000167494200013</t>
  </si>
  <si>
    <t>Gloersen, P; White, WB</t>
  </si>
  <si>
    <t>Reestablishing the circumpolar wave in sea ice around Antarctica from one winter to the next</t>
  </si>
  <si>
    <t>SOUTHERN OSCILLATION; SURFACE TEMPERATURE; OCEAN; PRECIPITATION; VARIABILITY; PRESSURE; EXTENT</t>
  </si>
  <si>
    <t>Remarkable correlation exists between warm water, poleward winds over the ocean, and low sea ice concentrations and extents over the winter sea ice pack around Antarctica, even to the point of continuing paterns across the ice-sea boundary. Since the wind stress associated with poleward wind is expected to compact the ice during sea ice edge retraction, we conclude that the memory of the Antarctic circumpolar wave in the sea ice pack is carried from one austral winter to the next by the neighboring water temperatures since the sea ice pack retracts nearly to Antarctica in austral summer.</t>
  </si>
  <si>
    <t>NASA, Goddard Space Flight Ctr, Lab Hydrospher Sci, Oceans &amp; Ice Branch, Greenbelt, MD 20771 USA; Univ Calif San Diego, Scripps Inst Oceanog, La Jolla, CA 92093 USA</t>
  </si>
  <si>
    <t>National Aeronautics &amp; Space Administration (NASA); NASA Goddard Space Flight Center; University of California System; University of California San Diego; Scripps Institution of Oceanography</t>
  </si>
  <si>
    <t>NASA, Goddard Space Flight Ctr, Lab Hydrospher Sci, Oceans &amp; Ice Branch, Code 661, Greenbelt, MD 20771 USA.</t>
  </si>
  <si>
    <t>per.gloersen@gsfc.nasa.gov; wbwhite@ucsd.edu</t>
  </si>
  <si>
    <t>C3</t>
  </si>
  <si>
    <t>10.1029/2000JC000230</t>
  </si>
  <si>
    <t>409WX</t>
  </si>
  <si>
    <t>WOS:000167409600003</t>
  </si>
  <si>
    <t>Suzuki, T; Mogoe, T; Asada, M; Miyamoto, A; Tetsuka, M; Ishikawa, H; Ohsumi, S; Fukui, Y</t>
  </si>
  <si>
    <t>Plasma and pituitary concentrations of gonadotropins (FSH and LH) in minke whales (Balaenoptera acutorostrata) during the feeding season</t>
  </si>
  <si>
    <t>THERIOGENOLOGY</t>
  </si>
  <si>
    <t>FSH; LH; steroid hormone; pituitary; minke whales</t>
  </si>
  <si>
    <t>FOLLICLE-STIMULATING-HORMONE; ENZYME-IMMUNOASSAY; SERTOLI CELL; FEMALE; INVITRO; TESTIS</t>
  </si>
  <si>
    <t>This study investigated plasma and pituitary concentrations of follicle-stimulating hormone (FSH) and luteinizing hormone (LH) and steroid hormones (progesterone: P-4, testosterone:T, estradiol-17 beta: E-2) by enzyme-immunoassay (EIA) in minke whales (Balaenoptera acutorostrata) captured during the feeding season (December to March) in the Antarctic Ocean. Plasma FSH and LH levels in female minke whales were higher (P &lt;0.05) than in male whales. Although the pituitary weight was not significantly different between male and female whales, pituitary FSH and LH levels were higher in females than in males (P&lt;0.01) and mature whales than immature whales (P&lt;0.05). Plasma levels of FSH, T and E-2 were not significantly different between immature and mature male whales, but plasma LH and pituitary FSH and LH levels were higher (P&lt;0.05) in mature than in immature whales. In both immature and mature whales regardless of gender, pituitary FSH and LH levels were correlated significantly (r=0.69: P&lt;0.01). In mature male whales, plasma T and E, levels (r=0.60: P&lt;0.01), and testis weight and plasma T levels (r=0.46: P &lt;0.05) were correlated. In immature female whales, plasma FSH and LH levels were highly correlated (r=0.68: P&lt;0.001), but were not for mature female whales. The results show that gender and maturity influence gonadal and pituitary function of minke whales during the feeding season. (C) 2001 by Elsevier Science Inc.</t>
  </si>
  <si>
    <t>Obihiro Univ Agr &amp; Vet Med, Lab Anim Genet &amp; Reprod, Obihiro, Hokkaido 0808555, Japan; Inst Cetacean Res, Tokyo 1040055, Japan</t>
  </si>
  <si>
    <t>Obihiro University of Agriculture &amp; Veterinary Medicine</t>
  </si>
  <si>
    <t>Fukui, Y (corresponding author), Obihiro Univ Agr &amp; Vet Med, Lab Anim Genet &amp; Reprod, Obihiro, Hokkaido 0808555, Japan.</t>
  </si>
  <si>
    <t>0093-691X</t>
  </si>
  <si>
    <t>Theriogenology</t>
  </si>
  <si>
    <t>10.1016/S0093-691X(01)00472-1</t>
  </si>
  <si>
    <t>Reproductive Biology; Veterinary Sciences</t>
  </si>
  <si>
    <t>421RH</t>
  </si>
  <si>
    <t>WOS:000168077000009</t>
  </si>
  <si>
    <t>Giangiacomo, L; D'Avino, R; di Prisco, G; Chiancone, E</t>
  </si>
  <si>
    <t>Hemoglobin of the antarctic fishes Trematomus bernacchii and Trematomus newnesi:: Structural basis for the increased stability of the liganded tetramer relative to human hemoglobin</t>
  </si>
  <si>
    <t>BIOCHEMISTRY</t>
  </si>
  <si>
    <t>CRYSTAL-STRUCTURE; PROTEIN; INTERFACE; OXYGEN; ENERGY</t>
  </si>
  <si>
    <t>Hemoglobins extracted from fishes that live in temperate waters show little or no dissociation even in the liganded form, unlike human hemoglobin (HbA). To establish whether cold adaptation influences the tendency to dissociate, the dimer-tetramer association constants (L-2,L-4) of the carbonmonoxy derivatives of representative hemoglobins from two Antarctic fishes, Trematomus newnesi (Hb1Tn) and Trematomus bernacchii (Hb1Tb), were determined by analytical ultracentrifugation as a function of pH in the range 6.0-8.6 and compared to HbA. HbA is more dissociated than fish hemoglobins at all pH values and in particular at pH 6.0. In contrast, both fish hemoglobins are mostly tetrameric over the whole pH range studied. The extent of hydrophobic surface area buried at the alpha (1)beta (2) interface upon association of dimers into tetramers and the number of hydrogen bonds formed are currently thought to play a major role in the stabilization of the hemoglobin tetramer, These contributions were derived from the X-ray structures of the three hemoglobins under study and found to be in good agreement with the experimentally determined L-2,L-4 values. pH affects oxygen binding of T. bernacchii and T. newnesi hemoglobins in a different fashion. The lack of a pH effect on the dissociation of the liganded proteins supports the proposal that the structural basis of such effects resides in the T (unliganded) structure rather than in the R (liganded) one.</t>
  </si>
  <si>
    <t>Univ Rome La Sapienza, CNR, Ctr Mol Biol, Dept Biochem Sci A Rossi Fanelli, I-00185 Rome, Italy; CNR, Inst Prot Biochem &amp; Enzymol, I-80125 Naples, Italy</t>
  </si>
  <si>
    <t>Sapienza University Rome; Consiglio Nazionale delle Ricerche (CNR); Consiglio Nazionale delle Ricerche (CNR); Istituto di Biochimica delle Proteine (IBP-CNR)</t>
  </si>
  <si>
    <t>Chiancone, E (corresponding author), Univ Rome La Sapienza, CNR, Ctr Mol Biol, Dept Biochem Sci A Rossi Fanelli, Piazzale Aldo Moro 5, I-00185 Rome, Italy.</t>
  </si>
  <si>
    <t>0006-2960</t>
  </si>
  <si>
    <t>BIOCHEMISTRY-US</t>
  </si>
  <si>
    <t>Biochemistry</t>
  </si>
  <si>
    <t>MAR 13</t>
  </si>
  <si>
    <t>10.1021/bi002297j</t>
  </si>
  <si>
    <t>409VU</t>
  </si>
  <si>
    <t>WOS:000167407000007</t>
  </si>
  <si>
    <t>Daniel, AJ; Kusznir, NJ; Styles, P</t>
  </si>
  <si>
    <t>Thermal and dynamic modeling of deep subduction of a spreading center: Implications for the fate of the subducted Chile Rise, southern Chile</t>
  </si>
  <si>
    <t>PLATE BOUNDARY FORCES; OCEANIC LITHOSPHERE; TRENCH COLLISION; TRIPLE JUNCTION; ISLAND ARCS; NAZCA PLATE; MANTLE; FLOW; TOPOGRAPHY; STRESS</t>
  </si>
  <si>
    <t>Our objective is to determine whether the Chile Rise spreading center, currently subducting south of the Chile Triple Junction in southern Chile, continues or ceases to separate after subduction. A two-dimensional kinematic thermal model is used to predict the temperature history of the subduction zone during spreading center subduction. Density anomalies, calculated from the temperature fields of the thermal model, are then used to define body forces that drive the motion of a dynamic viscous fluid model of spreading center subduction. Viscous models that include only local inplane driving forces predict that the Chile Rise spreading center ceases to separate after ridge subduction. If global in-plane plate forces are also included in the viscous model, continuing separation of the subducted Chile Rise is predicted, but at a greatly diminished rate. Fully continuing separation of the subducted Chile Rise only occurs if the subducted Nazca and Antarctic plates remain rigid, allowing the lateral transmission of global plate forces from along strike; however, this situation is unlikely as young subducted plates are believed to fragment. Continuing separation but at a greatly diminished rate is believed to be the most plausible hypothesis for spreading center subduction in southern Chile. Dynamic viscous modeling of subduction in the central Andes suggests a viscosity of 2.5 x 10(20) Pa s for upper mantle above the 400 km phase transition.</t>
  </si>
  <si>
    <t>Univ Liverpool, Dept Earth Sci, Liverpool L69 3BX, Merseyside, England; Univ Keele, Sch Earth Sci &amp; Geog, Keele ST5 5BG, Staffs, England</t>
  </si>
  <si>
    <t>University of Liverpool; Keele University</t>
  </si>
  <si>
    <t>Daniel, AJ (corresponding author), Univ Liverpool, Dept Earth Sci, Liverpool L69 3BX, Merseyside, England.</t>
  </si>
  <si>
    <t>srl1@liverpool.ac.uk; p.styles@keele.ac.uk</t>
  </si>
  <si>
    <t>MAR 10</t>
  </si>
  <si>
    <t>B3</t>
  </si>
  <si>
    <t>10.1029/1998JB900028</t>
  </si>
  <si>
    <t>409JA</t>
  </si>
  <si>
    <t>WOS:000167379500023</t>
  </si>
  <si>
    <t>Marsh, AG; Maxson, RE; Manahan, DT</t>
  </si>
  <si>
    <t>High macromolecular synthesis with low metabolic cost in Antarctic sea urchin embryos</t>
  </si>
  <si>
    <t>STRONGYLOCENTROTUS-PURPURATUS; PROTEIN-METABOLISM; ENERGY-METABOLISM; GROWTH; LARVAE; GASTROPODA; RATES</t>
  </si>
  <si>
    <t>Assessing the energy costs of development in extreme environments is important for understanding how organisms can exist at the margins of the biosphere. Macromolecular turnover rates of RNA and protein were measured at -1.5 degreesC during early development of an Antarctic sea urchin. Contrary to expectations of tow synthesis with tow metabolism at low temperatures, protein and RNA synthesis rates exhibited temperature compensation and were equivalent to rates in temperate sea urchin embryos. High protein metabolism with a tow metabolic rate is energetically possible in this Antarctic sea urchin because the energy cost of protein turnover, 0.45 joules per milligram of protein, is 1/25th the values reported for other animals.</t>
  </si>
  <si>
    <t>Univ So Calif, Dept Biol Sci, Los Angeles, CA 90089 USA; Univ So Calif, USC Norris Hosp Inst, Dept Biochem &amp; Mol Biol, Sch Med, Los Angeles, CA 90033 USA</t>
  </si>
  <si>
    <t>University of Southern California; University of Southern California</t>
  </si>
  <si>
    <t>Manahan, DT (corresponding author), Univ So Calif, Dept Biol Sci, Los Angeles, CA 90089 USA.</t>
  </si>
  <si>
    <t>MAR 9</t>
  </si>
  <si>
    <t>10.1126/science.1056341</t>
  </si>
  <si>
    <t>409TK</t>
  </si>
  <si>
    <t>WOS:000167401600042</t>
  </si>
  <si>
    <t>Erickson, JR; Sidell, BD; Moerland, TS</t>
  </si>
  <si>
    <t>Calcium-binding characteristics of parvalbumin isolated from an Antarctic teleost fish</t>
  </si>
  <si>
    <t>FASEB JOURNAL</t>
  </si>
  <si>
    <t>Florida State Univ, Tallahassee, FL 32306 USA; Univ Maine, Sch Marine Sci, Orono, ME 04469 USA</t>
  </si>
  <si>
    <t>State University System of Florida; Florida State University; University of Maine System; University of Maine Orono</t>
  </si>
  <si>
    <t>FEDERATION AMER SOC EXP BIOL</t>
  </si>
  <si>
    <t>9650 ROCKVILLE PIKE, BETHESDA, MD 20814-3998 USA</t>
  </si>
  <si>
    <t>0892-6638</t>
  </si>
  <si>
    <t>FASEB J</t>
  </si>
  <si>
    <t>Faseb J.</t>
  </si>
  <si>
    <t>MAR 8</t>
  </si>
  <si>
    <t>A816</t>
  </si>
  <si>
    <t>Biochemistry &amp; Molecular Biology; Biology; Cell Biology</t>
  </si>
  <si>
    <t>Biochemistry &amp; Molecular Biology; Life Sciences &amp; Biomedicine - Other Topics; Cell Biology</t>
  </si>
  <si>
    <t>410TA</t>
  </si>
  <si>
    <t>WOS:000167454200593</t>
  </si>
  <si>
    <t>Boone, GD; Agyin, F; Robichaud, DJ; Tao, FM; Hewitt, SA</t>
  </si>
  <si>
    <t>Rate constants for the reactions of chlorine atoms with deuterated methanes: Experiment and theory</t>
  </si>
  <si>
    <t>POTENTIAL-ENERGY SURFACE; LOWER ANTARCTIC STRATOSPHERE; LARGE (CO)-C-13 DEFICIT; OZONE HOLE CHEMISTRY; RATE COEFFICIENTS; ATMOSPHERIC CH4; AB-INITIO; ISOTOPE; CL; CH3D</t>
  </si>
  <si>
    <t>Long-path FTIR spectroscopy and ab initio calculations combined with conventional transition state theory were used to study the kinetics of the reactions of Cl atoms with deuterated methanes. The following experimental relative rate constants for the reaction of Cl atoms at 298 +/- 5 K and 760 +/- 5 Torr were determined: CH3D, (6.5 +/- 0.5) x 10(-14); CH2D2, (4.2 +/- 0.5) x 10(-14); CHD3, (1.9 +/- 0.3) x 10(-14); CD4, (5.4 +/- 0.4) x 10(-15). All experimental and theoretical rate constants are in units of cm(3) molecule(-1) s(-1) and are relative to the 1.0 x 10(-13) cm(3) molecule(-1) s(-1) rate constant for the reaction of Cl with CH4. All experimental uncertainty limits are 2 sigma. The geometries, energies, and frequencies of the reactants, products, and transition states were calculated at the level of the second-order Moller-Plesset approximation using a 6-311++G-(2d,2p) basis set. The following theoretical relative rate constants were calculated at 298 K using conventional transition state theory combined with an Eckart one-dimensional tunneling correction: CH3D, 6.8 x 10(-14); CH2D2, 4.2 x 10(-14); CHD3, 2.1 x 10(-14); CD4, 4.4 x 10(-15). The theoretical rate constants agree well with the experimental results. The curvature in both the experimental and theoretical rate constants as a function of deuteration is due to a secondary kinetic isotope effect, involving mainly the rate constant preexponential factors. The large decrease in Cl atom rate constant in going from CH4 to CH3D (i.e., the increase in curvature at CH3D) is due to the reduced symmetry in the transition state and a mass-dependent effect. The implications for previous studies, atmospheric chemistry, and chemical reactivity are discussed.</t>
  </si>
  <si>
    <t>Calif State Univ Fullerton, Dept Chem &amp; Biochem, Fullerton, CA 92834 USA</t>
  </si>
  <si>
    <t>California State University System; California State University Fullerton</t>
  </si>
  <si>
    <t>Calif State Univ Fullerton, Dept Chem &amp; Biochem, Fullerton, CA 92834 USA.</t>
  </si>
  <si>
    <t>10.1021/jp0027290</t>
  </si>
  <si>
    <t>407JN</t>
  </si>
  <si>
    <t>WOS:000167268600009</t>
  </si>
  <si>
    <t>Michelsen, HA; Simpson, WR</t>
  </si>
  <si>
    <t>Relating state-dependent cross sections to non-Arrhenius behavior for the Cl+CH4 reaction</t>
  </si>
  <si>
    <t>QUANTUM SCATTERING CALCULATIONS; POTENTIAL-ENERGY SURFACE; CL ATOM REACTIONS; STRATOSPHERIC CHLORINE; RATE CONSTANTS; CL+CH4-&gt;HCL+CH3 REACTION; ANTARCTIC VORTEX; CL+CH4-REVERSIBLE-ARROW-HCL+CH3 REACTION; REACTION CL+CH4-&gt;CH3+HCL; HYDROGEN-CHLORIDE</t>
  </si>
  <si>
    <t>We have used information gained via differential cross-section experiments of the Cl + CH4 reaction in an analysis of measured thermal rate constants to determine the source of the observed non-Arrhenius behavior. Our results demonstrate that curvature in the Arrhenius plot at temperatures above room temperature can be explained by enhancement of the reaction rate when the symmetric or asymmetric stretch of CH4 is excited. At low temperatures, the apparent curvature can be explained by tunneling and modest reaction-rate enhancement by a low-frequency bending mode of CH4. An analysis of dynamical and thermal measurements of the kinetic isotope effect for Cl + CH4/CD4 indicates that tunneling enhances the reaction probability of hydrogen-atom abstraction by partially relaxing the steric restrictions for the collinear geometry of the transition state. This analysis provides an estimate of rate constants at low (atmospheric) temperatures that is higher than recommended values and provides a prediction of rate constants at high (combustion) temperatures for which measurements are not currently available. We suggest directions for future theoretical and experimental studies based on uncertainties in the current description of this important reaction.</t>
  </si>
  <si>
    <t>Sandia Natl Labs, Combust Res Facil, Livermore, CA 94551 USA; Univ Alaska, Dept Chem, Fairbanks, AK 99775 USA</t>
  </si>
  <si>
    <t>United States Department of Energy (DOE); Sandia National Laboratories; University of Alaska System; University of Alaska Fairbanks</t>
  </si>
  <si>
    <t>Simpson, William/I-2859-2014</t>
  </si>
  <si>
    <t>Simpson, William/0000-0002-8596-7290; Michelsen, Hope/0000-0001-5802-6615</t>
  </si>
  <si>
    <t>10.1021/jp0016784</t>
  </si>
  <si>
    <t>WOS:000167268600011</t>
  </si>
  <si>
    <t>Guynn, SR; Scofield, MA; Petzel, D</t>
  </si>
  <si>
    <t>Na/K-ATPase α-subunit isoforms in the gills of the Antarctic fish, Trematomous bernacchii.</t>
  </si>
  <si>
    <t>Creighton Univ, Sch Med, Omaha, NE 68131 USA</t>
  </si>
  <si>
    <t>Creighton University</t>
  </si>
  <si>
    <t>MAR 7</t>
  </si>
  <si>
    <t>A91</t>
  </si>
  <si>
    <t>410KA</t>
  </si>
  <si>
    <t>WOS:000167438100511</t>
  </si>
  <si>
    <t>Cracraft, J</t>
  </si>
  <si>
    <t>Avian evolution, Gondwana biogeography and the Cretaceous-Tertiary mass extinction event</t>
  </si>
  <si>
    <t>Neornithes; avian evolution; biogeography; Gondwana; Cretaceous-Tertiary extinction</t>
  </si>
  <si>
    <t>PHYLOGENETIC ANALYSIS; INTERORDINAL RELATIONSHIPS; CONTINENTAL BREAKUP; ALPHA-CRYSTALLIN; NORFOLK RIDGE; NEW-ZEALAND; BIRDS; MADAGASCAR; SEQUENCES; ORIGIN</t>
  </si>
  <si>
    <t>The fossil record has been used to support the origin and radiation of modern birds (Neornithes) in Laurasia after the Cretaceous-Tertiary mass extinction event, whereas molecular clocks have suggested a Cretaceous origin for most avian orders. These alternative views of neornithine evolution are examined using an independent set of evidence, namely phylogenetic relationships and historical biogeography. Phylogenetic relationships of basal lineages of neornithines, including ratite birds and their allies (Palaeognathae), galliforms and anseriforms (Galloanserae), as well as lineages of the more advanced Neoaves (Gruiformes, Caprimulgiformes, Passeriformes and others) demonstrate pervasive trans-Antarctic distribution patterns. The temporal history of the neornithines can be inferred from fossil taxa and the ages of vicariance events, and along with their biogeographical patterns, leads to the conclusion that neornithines arose in Gondwana prior to the Cretaceous-Tertiary extinction event.</t>
  </si>
  <si>
    <t>Amer Museum Nat Hist, Dept Ornithol, New York, NY 10024 USA</t>
  </si>
  <si>
    <t>American Museum of Natural History (AMNH)</t>
  </si>
  <si>
    <t>Amer Museum Nat Hist, Dept Ornithol, Cent Pk W &amp; 79th St, New York, NY 10024 USA.</t>
  </si>
  <si>
    <t>jlc@amnh.org</t>
  </si>
  <si>
    <t>Cracraft, Joel/0000-0001-7587-8342</t>
  </si>
  <si>
    <t>10.1098/rspb.2000.1368</t>
  </si>
  <si>
    <t>410GT</t>
  </si>
  <si>
    <t>WOS:000167432800003</t>
  </si>
  <si>
    <t>Villafañe, VE; Helbling, EW; Zagarese, HE</t>
  </si>
  <si>
    <t>Solar ultraviolet radiation and its impact on aquatic systems of Patagonia, South America</t>
  </si>
  <si>
    <t>AMBIO</t>
  </si>
  <si>
    <t>TIERRA-DEL-FUEGO; OZONE DEPLETION; B RADIATION; MARINE-PHYTOPLANKTON; UV-RADIATION; PUNTA ARENAS; PHOTOSYNTHESIS; ARGENTINA; HOLE; IRRADIANCE</t>
  </si>
  <si>
    <t>Solar ultraviolet radiation (UVR, 280-400 nm) is known to cause a number of detrimental effects in aquatic organisms. The area of Patagonia, which is sometimes under the influence of the Antarctic ozone hole, occasionally receives enhanced levels of ultraviolet B radiation (UV-B, 280-315 nm). Great efforts have been put into creating a database for UVR climatology by installing a variety of instruments in several localities in the region. However, no comparable effort has been made to determine the impact of normal and enhanced levels of solar UVR upon organisms. Most of the photobiological research in aquatic systems of Patagonia has focused on determining the effects of solar UVR in phytoplankton photosynthesis, DNA damage, and mortality, fecundity and repair mechanisms in zooplanktonic species. Some work has also been done with fish larvae and interactions between species at low trophic levels of the aquatic food web. The results of these studies indicate that in order to assess the overall impact of UVR in a certain waterbody, it is also necessary to consider other variables, such as changes in cloudiness, ozone concentrations, differential sensitivity of organisms, and depth of the upper mixed layer/epilimnion. All factors that can preclude or benefit the acclimation of species to solar radiation.</t>
  </si>
  <si>
    <t>Estac Fotobiol Playa Union, RA-9100 Trelew Chubut, Argentina; Univ Nacl Comahue, Ctr Reg Univ Bariloche, CONICET, RA-8400 San Carlos De Bariloche, Rio Negro, Argentina</t>
  </si>
  <si>
    <t>Universidad Nacional del Comahue; Consejo Nacional de Investigaciones Cientificas y Tecnicas (CONICET)</t>
  </si>
  <si>
    <t>efpu@efpu.com.ar; efpu@efpu.com.ar; zagarese@infovia.com.ar</t>
  </si>
  <si>
    <t>Zagarese, Horacio/0000-0001-6588-5960; Villafane, Virginia/0000-0002-9552-6069</t>
  </si>
  <si>
    <t>0044-7447</t>
  </si>
  <si>
    <t>1654-7209</t>
  </si>
  <si>
    <t>Ambio</t>
  </si>
  <si>
    <t>MAR</t>
  </si>
  <si>
    <t>10.1639/0044-7447(2001)030[0112:SURAII]2.0.CO;2</t>
  </si>
  <si>
    <t>428FH</t>
  </si>
  <si>
    <t>WOS:000168450700007</t>
  </si>
  <si>
    <t>Stann, EJ</t>
  </si>
  <si>
    <t>Pilgrims on the ice: Robert Falcon Scott's first Antarctic expedition</t>
  </si>
  <si>
    <t>AMERICAN NEPTUNE</t>
  </si>
  <si>
    <t>PEABODY MUSEUM</t>
  </si>
  <si>
    <t>SALEM</t>
  </si>
  <si>
    <t>E INDIA MARINE HALL, SALEM, MA 01970 USA</t>
  </si>
  <si>
    <t>0003-0155</t>
  </si>
  <si>
    <t>AM NEPTUNE</t>
  </si>
  <si>
    <t>Am. Neptune</t>
  </si>
  <si>
    <t>SPR</t>
  </si>
  <si>
    <t>History</t>
  </si>
  <si>
    <t>602DY</t>
  </si>
  <si>
    <t>WOS:000178491500016</t>
  </si>
  <si>
    <t>Innis, JL; Phillips, FA; Burns, GB; Greet, PA; French, WJR; Dyson, PL</t>
  </si>
  <si>
    <t>Mesospheric temperatures from observations of the hydroxyl (6-2) emission above Davis, Antarctica: A comparison of rotational and Doppler measurements</t>
  </si>
  <si>
    <t>atmospheric composition and structure; airglow and aurora; pressure density and temperature; instruments and techniques</t>
  </si>
  <si>
    <t>TRANSITION-PROBABILITIES; MESOPAUSE TEMPERATURES; OH; AIRGLOW; LIDAR; MIDLATITUDE; NIGHTGLOW; TRENDS; MIDDLE; HEIGHT</t>
  </si>
  <si>
    <t>We present observations of the hydroxyl (6-2) airglow lines from similar to 87 km altitude obtained at Davis station, Antarctica, in the austral winter of 1999. Nine nights of observations were made of the P-branch near lambda 840 nm with a Czerny-Turner scanning spectrometer (CTS); at the same time, high-resolution Fabry-Perot Spectrometer (FPS) spectra were collected of the Q(1)(1) doublet at lambda 834 nm. Rotational temperatures were determined from the CTS observations, while Doppler temperatures were derived from the line-widths of the FPS Q1(1) spectra. Absolute temperatures determined by these methods are uncertain by similar to2 and similar to 20 K, respectively. For the comparison we set the value of the reflective finesse of the FPS at lambda 834 nn so the mean FPS temperature from one night of simultaneous data was equal to that from the CTS, and then looked at the measured variations in each data set for the other eight nights. Both instruments show the upper mesosphere temperature to vary in a similar manner to within the observational errors of the measurements, implying an equivalence of the rotational and Doppler temperatures. We believe that this is the first published simultaneous, same-site, comparison of rotational and Doppler temperatures from the OH emission.</t>
  </si>
  <si>
    <t>Innis, JL (corresponding author), Australian Antarctic Div, Channel Highway, Kingston, Tas 7050, Australia.</t>
  </si>
  <si>
    <t>French, John/0000-0001-9305-6190</t>
  </si>
  <si>
    <t>10.5194/angeo-19-359-2001</t>
  </si>
  <si>
    <t>453DF</t>
  </si>
  <si>
    <t>WOS:000169900700010</t>
  </si>
  <si>
    <t>Vaughan, A</t>
  </si>
  <si>
    <t>Taking the long view: a geological contribution to understanding the causes of global glaciation</t>
  </si>
  <si>
    <t>110 MIDLAND AVE, PORT CHESTER, NY 10573-4930 USA</t>
  </si>
  <si>
    <t>421RK</t>
  </si>
  <si>
    <t>WOS:000168077200001</t>
  </si>
  <si>
    <t>Cantone, G; Di Pietro, N</t>
  </si>
  <si>
    <t>Benthic littoral Sedentaria of Terra Nova Bay (Ross Sea, Antarctica)</t>
  </si>
  <si>
    <t>Antarctica; Myriochele antarctica sp nov.; Polychaeta; Scolelepis eltaninae nudipalpa ssp nov.</t>
  </si>
  <si>
    <t>ROSS SEA; POLYCHAETA</t>
  </si>
  <si>
    <t>The Polychaeta Sedentaria collected in Terra Nova Bap (Ross Sea) during the Second Italian Oceanographic Antarctic Expedition (1989-90) have been studied. A total of 1518 specimens have been examined and 43 species, belonging to 14 families, have been identified. A new species of Oweniidae, Myriochele antarctica and a new subspecies of Spionidae, Scolelepis eltaninae nudipalpa are described. Terebellidae was the most important family in number of species, Spionidae, Oweniidae and Orbiniidae in number of individuals. More than 60% of the species are endemic to Antarctic and sub-Antarctic areas.</t>
  </si>
  <si>
    <t>Univ Catania, Dipartimento Biol Anim, I-95124 Catania, Italy</t>
  </si>
  <si>
    <t>University of Catania</t>
  </si>
  <si>
    <t>Cantone, G (corresponding author), Univ Catania, Dipartimento Biol Anim, Via Androne 81, I-95124 Catania, Italy.</t>
  </si>
  <si>
    <t>10.1017/S0954102001000025</t>
  </si>
  <si>
    <t>WOS:000168077200002</t>
  </si>
  <si>
    <t>Courtright, EM; Wall, DH; Virginia, RA</t>
  </si>
  <si>
    <t>Determining habitat suitability for soil invertebrates in an extreme environment: the McMurdo Dry Valleys, Antarctica</t>
  </si>
  <si>
    <t>Antarctica; biodiversity; nematodes; dry valleys</t>
  </si>
  <si>
    <t>BACTERIVOROUS NEMATODES; COMMUNITY STRUCTURE; ORGANIC-MATTER; TAYLOR VALLEY; BIODIVERSITY; DIVERSITY; ABUNDANCE; ORIGIN</t>
  </si>
  <si>
    <t>We sampled soils in the McMurdo Dry Valleys to determine the habitats that were suitable or extreme for soil invertebrates. Suitability was assessed by comparing nematode species diversity and abundance, and tardigrade and rotifer abundance as related to soil properties at three spatial scales: landscape (across Taylor, Wright and Victoria valleys), at three distant locations within valleys, and within small plots (1 m(2)). Extreme environments were characterized by the lack of nematode abundance and diversity, high salinity, low soil moisture and organic carbon, and higher elevation or a geographic location less accessible for dispersing organisms. Suitable habitats were more frequent near the coast and at lower elevations. Extreme habitats could be defined based on one environmental factor, but more typically a set of interrelated soil and environmental factors appear to determine the abundance and composition of the soil community. The three Dry Valley nematode species occupied distinct regions of a multivariate biplot relating soil chemistry and moisture. Scottnema lindsayae is unusual for its ability to live in a wide range of extreme soil habitats. Our research shows that in the McMurdo Dry Valleys, life flourishes in suitable soil habitats and that extreme habitats (no invertebrates) call be defined.</t>
  </si>
  <si>
    <t>Colorado State Univ, Nat Resource Ecol Lab, Ft Collins, CO 80523 USA; Dartmouth Coll, Environm Studies Program, Hanover, NH 03755 USA</t>
  </si>
  <si>
    <t>Colorado State University; Dartmouth College</t>
  </si>
  <si>
    <t>Colorado State Univ, Nat Resource Ecol Lab, Ft Collins, CO 80523 USA.</t>
  </si>
  <si>
    <t>slb9d@cc.usu.edu; Diana@nrel.colostate.edu; Ross.A.Virginia@dartmouth.edu</t>
  </si>
  <si>
    <t>Wall, Diana H/F-5491-2011</t>
  </si>
  <si>
    <t>10.1017/S0954102001000037</t>
  </si>
  <si>
    <t>WOS:000168077200003</t>
  </si>
  <si>
    <t>Hawes, I; Moorhead, D; Sutherland, D; Schmeling, J; Schwarz, AM</t>
  </si>
  <si>
    <t>Benthic primary production in two perennially ice-covered Antarctic lakes: patterns of biomass accumulation with a model of community metabolism</t>
  </si>
  <si>
    <t>Antarctic lakes; benthic photosynthesis; carbon cycling; microbial mat</t>
  </si>
  <si>
    <t>MCMURDO DRY VALLEYS; PRODUCTION ECOLOGY; OPTICAL-PROPERTIES; MICROBIAL MATS; HOARE; PHOTOSYNTHESIS; LIGHT; PLANTS</t>
  </si>
  <si>
    <t>A mathematical model was used to simulate interannual patterns of biomass accumulation within benthic microbial mats of two Antarctic lakes. Lakes Hoare and Vanda are in the Dry Valley region of Southern Victoria Land, and are both perennially ice covered. The model combines experimentally derived observations of light/photosynthesis relationships and rates of respiration of mats from a range of depths in these lakes, with data on incident radiation and the optical properties of the ice and water column. The model was used to estimate daily and annual production and, using measured carbon content, the potential vertical accumulation of the mats over a year. An annual pattern of photosynthesis was predicted far both lakes, with net production from October to February and net respiration at other times. Predicted rates and patterns of net photosynthesis were remarkably similar in the two lakes, despite differences in light climate: the ice of Lake Hoare transmits 1-4% incident radiation, whereas that of Lake Vanda transmits up to 20%. Maximum daily rates of 15-20 mug carbon cm(-2) were predicted to occur at approximately 10 m depth in both lakes. Maximum annual rates of carbon fixation (at 10-12 m depth) in both lakes were c. 1.2 mg carbon cm(-2) equating to approximately 0.1-4 mm vertical accumulation of mat each pear. Experimental studies of microbial mats in the lakes revealed horizontal laminations of similar thickness to model estimates, supporting the hypothesis that these were annual layers. Differences between model estimates and observations were found in deeper water in Lake Vanda, where considerably more material accumulated than was predicted.</t>
  </si>
  <si>
    <t>Natl Inst Water &amp; Atmospher Res, Christchurch, New Zealand; Tel Aviv Univ, Dept Plant Sci, IL-69978 Tel Aviv, Israel; Univ Toledo, Toledo, OH 43617 USA</t>
  </si>
  <si>
    <t>National Institute of Water &amp; Atmospheric Research (NIWA) - New Zealand; Tel Aviv University; University System of Ohio; University of Toledo</t>
  </si>
  <si>
    <t>Natl Inst Water &amp; Atmospher Res, POB 8602, Christchurch, New Zealand.</t>
  </si>
  <si>
    <t>Sutherland, Donna/0000-0002-2119-1120; Hawes, Ian/0000-0003-2471-6903</t>
  </si>
  <si>
    <t>10.1017/S0954102001000049</t>
  </si>
  <si>
    <t>WOS:000168077200004</t>
  </si>
  <si>
    <t>Van De Vijver, B; Ledeganck, P; Beyens, L</t>
  </si>
  <si>
    <t>Habitat preferences in freshwater diatom communities from sub-Antarctic Iles Kerguelen</t>
  </si>
  <si>
    <t>diatoms; ecology; habitat preference; Kerguelen; sub-Antarctic</t>
  </si>
  <si>
    <t>LA POSSESSION CROZET; WATER DIATOMS; SUBANTARCTICA; SEDIMENTS; ISLANDS; ECOLOGY</t>
  </si>
  <si>
    <t>A limited sampling campaign on the main island of Iles Kerguelen revealed 170 freshwater diatom tare, belonging to 29 genera. Four different communities were distinguished in two major groups, being determined principally by habitat type. The Fragilaria vaucheriae-Fragilaria germainii assemblage occurs exclusively in running waters. The three other communities, observed in standing waterbodies, are separated by their geographical position on the island with the Fragilaria exigua-Aulacoseira alpigena and the Fragilaria exigua-Fragilaria vaucheriae assemblages, mainly found in the Lac Studer area and the Fragilaria pinnata var. pinnata assemblage. recorded near the coastal Line and the research station. Analysis of different waterbody types revealed the habitat preference of the various diatom taxa and identified a diatom flora for running waters and one preferring stagnant waterbodies.</t>
  </si>
  <si>
    <t>Univ Antwerp, RUCA, Dept Biol, Unit Polar Ecol Limnol &amp; Paleobiol, B-2020 Antwerp, Belgium</t>
  </si>
  <si>
    <t>University of Antwerp</t>
  </si>
  <si>
    <t>Van De Vijver, B (corresponding author), Univ Antwerp, RUCA, Dept Biol, Unit Polar Ecol Limnol &amp; Paleobiol, Groenenborgerlaan 171, B-2020 Antwerp, Belgium.</t>
  </si>
  <si>
    <t>WOS:000168077200005</t>
  </si>
  <si>
    <t>Vergani, DF; Stanganelli, ZB; Bilenca, D</t>
  </si>
  <si>
    <t>Weaning mass variation of southern elephant seals at King George Island and its possible relationship with El Nino and La Nina Events</t>
  </si>
  <si>
    <t>El Nino; ENSO; La Nina; Mirounga leonina; southern elephant seals; weaning mass</t>
  </si>
  <si>
    <t>PUPS</t>
  </si>
  <si>
    <t>Possible effects of El Nino Southern Oscillation (ENSO) components El Nino and La Nina on populations of southern elephant seals, Mirounga leonina L., are considered in this study. Information on pup weaning mass, collected at King George Island, South Shetland Islands, over a ten-year period (1985-94) was analysed with respect to the occurrence of ENSO and recent research in feeding ecology of this population in the Bellinghausen Sea. Weaning mass of elephant seals was found to be higher during La Nina and a lower during El Nino. Differences in weaning mass between sexes varied in different proportions during El Nino and La Nina. The teleconnection between tropical Pacific anomalies and the Bellinghausen Sea deserves further research, and our results suggest a way to study this phenomenon using data of elephant seal pups weaning mass as indicators of changes in food availability.</t>
  </si>
  <si>
    <t>CONICET, CENPAT, Ctr Nacl Patagon, RA-9120 Puerto Madryn, Chubut, Argentina; Elephant Seals Project, RA-9120 Puerto Madryn, Chubut, Argentina; Univ Buenos Aires, Fac Ciencias Exactas &amp; Nat, Dept Ciencias Biol, RA-1428 Buenos Aires, DF, Argentina</t>
  </si>
  <si>
    <t>Centro Nacional Patagonico (CENPAT); Consejo Nacional de Investigaciones Cientificas y Tecnicas (CONICET); University of Buenos Aires</t>
  </si>
  <si>
    <t>Vergani, DF (corresponding author), CONICET, CENPAT, Ctr Nacl Patagon, Blvd Alm Brown 3500, RA-9120 Puerto Madryn, Chubut, Argentina.</t>
  </si>
  <si>
    <t>Vergani, Daniela/Z-3026-2019</t>
  </si>
  <si>
    <t>Bilenca, David/0000-0003-0984-2629; Vergani, Daniela/0000-0003-0898-2216</t>
  </si>
  <si>
    <t>10.1017/S0954102001000062</t>
  </si>
  <si>
    <t>WOS:000168077200006</t>
  </si>
  <si>
    <t>Braun, M; Simoes, JC; Vogt, S; Bremer, UF; Blindow, N; Pfender, M; Saurer, H; Aquino, FE; Ferron, FA</t>
  </si>
  <si>
    <t>An improved topographic database for King George Island: compilation, application and outlook</t>
  </si>
  <si>
    <t>Antarctic Peninsula; digital terrain model; environmental management; Geographic Information System; King George Island; satellite image map</t>
  </si>
  <si>
    <t>ENERGY-BALANCE</t>
  </si>
  <si>
    <t>A new topographic database for King George Island, one of the most visited areas in Antarctica, is presented. Data from differential GPS surveys, gained during the summers 1997/98 and 1999/2000, were combined with up to date coastlines from a SPOT satellite image mosaic, and topographic information from maps as well as from the Antarctic Digital Database. A digital terrain model (DTM) was generated using ARC/INFO GIS. From contour lines derived from the DTM and the satellite image mosaic a satellite image map was assembled. Extensive information on data accuracy, the database as well as on the criteria applied to select place names is given in the multilingual map. A lack of accurate topographic information in the eastern part of the island was identified. It was concluded that additional topographic surveying or radar interferometry should be conducted to improve the data quality in this area. In three case studies, the potential applications of the improved topographic database are demonstrated. The first two examples comprise the verification of glacier velocities and the study of glacier retreat from the various input data-sets as well as the use of the DTM for climatological modelling. The last case study focuses on the use of the new digital database as a basic GIS (Geographic Information System) layer for environmental monitoring and management on King George Island.</t>
  </si>
  <si>
    <t>Univ Freiburg, Inst Phys Geog, D-79085 Freiburg, Germany; Univ Fed Rio Grande do Sul, Dept Geog, Lab Pesquisas Antarticas &amp; Glaciol, BR-91501970 Porto Alegre, RS, Brazil; Univ Munster, Inst Geophys, D-48149 Munster, Germany</t>
  </si>
  <si>
    <t>University of Freiburg; Universidade Federal do Rio Grande do Sul; University of Munster</t>
  </si>
  <si>
    <t>Univ Freiburg, Inst Phys Geog, Werderring 4, D-79085 Freiburg, Germany.</t>
  </si>
  <si>
    <t>matthias.braun@ipg.uni-freiburg.de</t>
  </si>
  <si>
    <t>Simoes, Jefferson Cardia/D-7232-2013; Bremer, Ulisses Franz/AAT-8733-2021; Braun, Matthias/A-4968-2009; Bremer, Ulisses F/D-3308-2013; Braun, Matthias H/S-4693-2016</t>
  </si>
  <si>
    <t>Simoes, Jefferson Cardia/0000-0001-5555-3401; Bremer, Ulisses Franz/0000-0003-0519-5807; Braun, Matthias/0000-0001-5169-1567;</t>
  </si>
  <si>
    <t>10.1017/S0954102001000074</t>
  </si>
  <si>
    <t>WOS:000168077200007</t>
  </si>
  <si>
    <t>Hall, BL; Denton, GH; Overturf, B</t>
  </si>
  <si>
    <t>Glacial Lake Wright, a high-level antarctic lake during the LGM and early Holocene</t>
  </si>
  <si>
    <t>Antarctica; McMurdo Dry Valleys; lakes; last glacial maximum</t>
  </si>
  <si>
    <t>MCMURDO DRY VALLEYS; WISCONSIN; CLIMATE</t>
  </si>
  <si>
    <t>We report evidence of a large proglacial lake (Glacial Lake Wright) that existed in Wright Valley in the McMurdo Dry Valleys region of Antarctica at the last glacial maximum (LGM) and in the early Holocene. At its highstands, Glacial Lake Wright would have stretched 50 km and covered c. 210 km(2). Chronology for lake-level changes comes from 30 AMS radiocarbon dates of lacustrine algae preserved in deltas, shorelines, and glaciolacustrine deposits that extend up to 480 m above present-day lakes. Emerging evidence suggests that Glacial Lake Wright was only one of a series of large lakes to occupy the McMurdo Dry Valleys and the valleys fronting the Royal Society Range at the LGM. Although the cause of such high lake levels is not well understood, it is believed to relate to cool, dry conditions which produced fewer clouds, less snowfall, and greater amounts of absorbed radiation, leading to increased meltwater production.</t>
  </si>
  <si>
    <t>Univ Maine, Dept Geol Sci, Orono, ME 04469 USA; Univ Maine, Inst Quaternary Studies, Orono, ME 04469 USA; Woods Hole Oceanog Inst, Woods Hole, MA 02543 USA</t>
  </si>
  <si>
    <t>University of Maine System; University of Maine Orono; University of Maine System; University of Maine Orono; Woods Hole Oceanographic Institution</t>
  </si>
  <si>
    <t>Univ Maine, Dept Geol Sci, Orono, ME 04469 USA.</t>
  </si>
  <si>
    <t>10.1017/S0954102001000086</t>
  </si>
  <si>
    <t>WOS:000168077200008</t>
  </si>
  <si>
    <t>Hamilton, N; Pudsey, CJ</t>
  </si>
  <si>
    <t>Magnetic properties of Upper Quaternary sediments from the Scotia Sea, Antarctica</t>
  </si>
  <si>
    <t>environmental magnetic parameters; Quaternary; Scotia Sea; sediments</t>
  </si>
  <si>
    <t>HYSTERESIS PROPERTIES; GRAIN-SIZE; CIRCUMPOLAR CURRENT; TITANOMAGNETITES; DEPENDENCE; RECORD; OCEAN; WATER</t>
  </si>
  <si>
    <t>Magnetic properties of bulk sediment samples taken from three cores from the Scotia Sea, Antarctica were determined using a fully-automated variable field translation balance. Fine-grained detrital magnetite is identified as the principal carrier of remanence in these Upper Quaternary sediments which were deposited under the influence of the Antarctic Circumpolar Current. Inferred magnetite grain-size is consistent with published bulk grain-size data for these cores. Pseudo-single domain grains characterize Holocene samples, and larger, multi-domain grains occur in glacial samples from two of the cores, whereas samples from the northernmost core site show dominantly multi-domain behaviour.</t>
  </si>
  <si>
    <t>Univ Southampton, Southampton Oceanog Ctr, Sch Ocean &amp; Earth Sci, Southampton SO14 3ZH, Hants, England; British Antarctic Survey, NERC, Cambridge CB3 0ET, England</t>
  </si>
  <si>
    <t>Hamilton, N (corresponding author), Univ Southampton, Southampton Oceanog Ctr, Sch Ocean &amp; Earth Sci, Southampton SO14 3ZH, Hants, England.</t>
  </si>
  <si>
    <t>10.1017/S0954102001000098</t>
  </si>
  <si>
    <t>WOS:000168077200009</t>
  </si>
  <si>
    <t>Hathway, B; Riding, JB</t>
  </si>
  <si>
    <t>Stratigraphy and age of the Lower Cretaceous Pedersen Formation, northern Antarctic Peninsula</t>
  </si>
  <si>
    <t>Aptian; Gustav Group; James Ross Basin; palynology; Sobral Peninsula</t>
  </si>
  <si>
    <t>JAMES-ROSS-ISLAND; BACK-ARC BASIN; SUCCESSION</t>
  </si>
  <si>
    <t>The Pedersen Formation includes conglomerate-dominated successions exposed on Pedersen Nunatak (142 m thick) and southern Sobral Peninsula (750-1000 m thick). As re-defined here, it also includes mudstone and sandstone in tectonic contact with Nordenskjold Formation strata on a nunatak north of the Sobral Peninsula conglomerate outcrops. 40Ar/39Ar ages and palynological data indicate an early Aptian age for the lower part of the formation on Sobral Peninsula. The Pedersen Nunatak strata have yielded conflicting age determinations, although an Early Cretaceous age seems likely. The Sobral Peninsula conglomerates are lithologically similar to, and possibly coeval with, basal Gustav Group strata (Lagrelius Point Formation) on James Ross Island. Although further field sampling is required to resolve the age of the Pedersen Nunatak strata, on present evidence the Pedersen Formation appears to form part of the same tectono-stratigraphic unit as the lower part of the Gustav Group, and we therefore propose that it be included in that group.</t>
  </si>
  <si>
    <t>British Geol Survey, Nottingham NG12 5GG, England; British Antarctic Survey, NERC, Cambridge CB3 0ET, England</t>
  </si>
  <si>
    <t>UK Research &amp; Innovation (UKRI); Natural Environment Research Council (NERC); NERC British Geological Survey; UK Research &amp; Innovation (UKRI); Natural Environment Research Council (NERC); NERC British Antarctic Survey</t>
  </si>
  <si>
    <t>Hathway, B (corresponding author), Univ Greenwich, Sch Earth &amp; Environm Sci, Medway Campus,Chatham Maritime, Chatham ME4 4TB, Kent, England.</t>
  </si>
  <si>
    <t>B.Hathway@greenwich.ac.uk</t>
  </si>
  <si>
    <t>10.1017/S0954102001000104</t>
  </si>
  <si>
    <t>WOS:000168077200010</t>
  </si>
  <si>
    <t>Salvatore, MC</t>
  </si>
  <si>
    <t>Geomorphological sketch map of the Fossil Bluff area (Alexander Island, Antarctica) mapped from aerial photographs</t>
  </si>
  <si>
    <t>aerial photographs; Antarctic Peninsula; Fossil Bluff; geomorphological map</t>
  </si>
  <si>
    <t>A geomorphological sketch map of the Fossil Bluff area, showing the main morphological characteristics was prepared from aerial photographs taken by the British Antarctic Survey in 1995. Landforms and deposits mapped include those related to glaciers and the local hydrography, periglacial and nival activity, and wind and gravity action. Data mapped originally at a scale of 1.12 500 and simplified for presentation here at a scale of about 1:30 000, have been digitized as vectors using a GIS. In this way these data may easily be integrated with other environmental data for future research.</t>
  </si>
  <si>
    <t>Univ La Sapienza, Dipartimento Sci Terra, I-00185 Rome, Italy</t>
  </si>
  <si>
    <t>Sapienza University Rome</t>
  </si>
  <si>
    <t>Salvatore, MC (corresponding author), Univ La Sapienza, Dipartimento Sci Terra, Ple A Moro 5, I-00185 Rome, Italy.</t>
  </si>
  <si>
    <t>Salvatore, Maria Cristina/AAS-4000-2020</t>
  </si>
  <si>
    <t>Salvatore, Maria Cristina/0000-0002-1590-7284</t>
  </si>
  <si>
    <t>10.1017/S0954102001000116</t>
  </si>
  <si>
    <t>WOS:000168077200011</t>
  </si>
  <si>
    <t>Whitehead, JM; McKelvey, BC</t>
  </si>
  <si>
    <t>The stratigraphy of the Pliocene-lower Pleistocene Bardin Bluffs Formation, Amery Oasis, northern Prince Charles Mountains, Antarctica</t>
  </si>
  <si>
    <t>Amery Ice Shelf; Amery Oasis; fjordal sedimentation; grounding-line fluctuations; Pliocene-Pleistocene</t>
  </si>
  <si>
    <t>ICE-SHEET; LAKE AREA; BEAVER</t>
  </si>
  <si>
    <t>In the Amery Oasis of the northern Prince Charles Mountains, the glaciomarine Bardin Bluffs Formation of the Pagodroma Group was deposited between the Late Pliocene (&lt; 3.1 Ma) and Early Pleistocene (&gt;1 Ma). The formation provides evidence of (i) a reduced East Antarctic ice sheet compared to that of the present day and (ii) a subsequent Plio-Pleistocene ice sheet expansion. The formation consists of two members. The older, basal Member 1 is c. 12.5 m thick and consists of relatively ice-distal silty, sandy and sparsely fossiliferous fjordal strata. Member 1 reflects largely ice-free marine sedimentation c. 250 km inland from the current Amery Ice Shelf edge. The member is restricted to the area about the north-eastern end of Pagodroma Gorge where it infills a chemically weathered erosion surface, cut in the form of a valley on the Permo-Triassic Amery Group. Weathering occurred during aerial exposure of the Amery Oasis in a warmer climate than that of today. The younger Member 2 exceeds 40 m in thickness and is made up of coarse ice proximal glaciomarine diamicts. It overlies disconformably Member 1 at Pagodroma Gorge. Elsewhere, Member 2 rests directly upon a smoothed and striated erosion surface, cut on the Amery Group, which was part of a fjord floor. This erosional surface and the facies contrast between the two members, indicates an East Antarctic Ice Sheet expansion and Lambert Glacier grounding-line advance.</t>
  </si>
  <si>
    <t>Univ Tasmania, Antarctic CRC, Hobart, Tas 7001, Australia; Univ Tasmania, IASOS, Hobart, Tas 7001, Australia; Univ New England, Div Earth Sci, Armidale, NSW 2351, Australia</t>
  </si>
  <si>
    <t>University of Tasmania; University of Tasmania; University of New England</t>
  </si>
  <si>
    <t>Univ Tasmania, Antarctic CRC, Box 252-C, Hobart, Tas 7001, Australia.</t>
  </si>
  <si>
    <t>10.1017/S0954102001000128</t>
  </si>
  <si>
    <t>WOS:000168077200012</t>
  </si>
  <si>
    <t>Hathway, B</t>
  </si>
  <si>
    <t>Sims island: first data from a Pliocene alkaline volcanic centre in eastern Ellsworth Land</t>
  </si>
  <si>
    <t>ANTARCTIC PENINSULA</t>
  </si>
  <si>
    <t>Hathway, B (corresponding author), Univ Greenwich, Sch Earth &amp; Environm Sci, Chatham ME4 4TB, Kent, England.</t>
  </si>
  <si>
    <t>10.1017/S095410200100013X</t>
  </si>
  <si>
    <t>WOS:000168077200013</t>
  </si>
  <si>
    <t>D'auria, S; Carginale, V; Scudiero, R; Crescenzi, O; Di Maro, D; Temussi, PA; Parisi, E; Capasso, C</t>
  </si>
  <si>
    <t>Structural characterization and thermal stability of Notothenia coriiceps metallothionein</t>
  </si>
  <si>
    <t>BIOCHEMICAL JOURNAL</t>
  </si>
  <si>
    <t>absorbance spectroscopy; circular dichroism; NMR; temperature effect; zinc mobility</t>
  </si>
  <si>
    <t>NUCLEAR-MAGNETIC-RESONANCE; CIRCULAR-DICHROISM; THIOLATE CLUSTERS; NMR-SPECTROSCOPY; MAMMALIAN METALLOTHIONEIN; 3-DIMENSIONAL STRUCTURE; DOMAIN SPECIFICITY; MESSENGER-RNA; METAL-BINDING; ZINC TRANSFER</t>
  </si>
  <si>
    <t>Fish and mammalian metallothioneins (MTs) differ in the amino acid residues placed between their conserved cysteines. We have expressed the MT of an Antarctic fish, Notothenia coriiceps, and characterized it by means of multinuclear NMR spectroscopy. Overall, the architecture of the fish MT is very similar to that of mammalian MTs, However, NMR spectroscopy shows that the dynamic behaviour of the two domains is markedly different. With the aid of absorption and CD spectroscopies, we studied the conformational and electronic features of fish and mouse recombinant Cd-MT and the changes produced in these proteins by heating. When the temperature was increased from 20 to 90 degreesC, the Cd-thiolate chromophore absorbance at 254 nm of mouse MT was not modified up to 60 degreesC, whereas the absorbance of fish MT decreased significantly starting from 30 degreesC. The CD spectra also changed quite considerably with temperature, with a gradual decrease of the positive band at 260 nm that was more pronounced for fish than for mouse MT. The differential effect of temperature on fish and mouse MTs may reflect a different stability of metal-thiolate clusters of the two proteins. Such a conclusion is also corroborated by results showing differences in metal mobility between fish and mouse Zn-MT.</t>
  </si>
  <si>
    <t>CNR, Inst Prot Biochem &amp; Enzymol, I-80125 Naples, Italy; Univ Naples Federico II, Dept Evolutionary &amp; Comparat Biol, I-80134 Naples, Italy; Univ Naples Federico II, Dept Chem, I-80126 Naples, Italy</t>
  </si>
  <si>
    <t>Consiglio Nazionale delle Ricerche (CNR); Istituto di Biochimica delle Proteine (IBP-CNR); University of Naples Federico II; University of Naples Federico II</t>
  </si>
  <si>
    <t>CNR, Inst Prot Biochem &amp; Enzymol, Via Marconi 10, I-80125 Naples, Italy.</t>
  </si>
  <si>
    <t>ccapasso@dafne.ibpe.na.cnr.it</t>
  </si>
  <si>
    <t>Scudiero, Rosaria/AAI-2119-2020; Temussi, Piero A/N-5830-2017; d'auria, sabato/C-3565-2015; Carginale, Vincenzo/N-2531-2014; CAPASSO, CLEMENTE/P-3522-2016</t>
  </si>
  <si>
    <t>d'auria, sabato/0000-0001-9320-494X; Carginale, Vincenzo/0000-0002-1842-494X; CAPASSO, CLEMENTE/0000-0003-3314-2411; Scudiero, Rosaria/0000-0002-8186-9722</t>
  </si>
  <si>
    <t>PORTLAND PRESS LTD</t>
  </si>
  <si>
    <t>CHARLES DARWIN HOUSE, 12 ROGER STREET, LONDON WC1N 2JU, ENGLAND</t>
  </si>
  <si>
    <t>0264-6021</t>
  </si>
  <si>
    <t>1470-8728</t>
  </si>
  <si>
    <t>BIOCHEM J</t>
  </si>
  <si>
    <t>Biochem. J.</t>
  </si>
  <si>
    <t>MAR 1</t>
  </si>
  <si>
    <t>10.1042/0264-6021:3540291</t>
  </si>
  <si>
    <t>411DW</t>
  </si>
  <si>
    <t>WOS:000167483700008</t>
  </si>
  <si>
    <t>Statistical physics of random searches</t>
  </si>
  <si>
    <t>BRAZILIAN JOURNAL OF PHYSICS</t>
  </si>
  <si>
    <t>N LEVY FLIGHTS; CHEMOSENSORY RESPONSES; CHAOTIC SYSTEMS; MOVEMENT; PATTERNS; DISTRIBUTIONS; DISPERSAL; BEHAVIOR; MODEL; TIME</t>
  </si>
  <si>
    <t>We apply the theory of random walks to quantitatively describe the general problem of how to search efficiently for randomly located objects that can only be detected in the limited vicinity of a searcher who typically has a finite degree of free will to move and search at will. We illustrate Levy flight search processes by comparison to Brownian random walks and discuss experimental observations of Levy flights in the special case of biological organisms that search for food sites. We review recent findings indicating that an inverse square probability density distribution P(l) similar to l(-2) of step lengths l can lead to optimal searches. Finally we survey the explanations put forth to account for these surprising findings.</t>
  </si>
  <si>
    <t>Univ Fed Alagoas, Dept Fis, BR-57072970 Maceio, AL, Brazil; Boston Univ, Ctr Polymer Studies, Boston, MA 02215 USA; Boston Univ, Dept Phys, Boston, MA 02215 USA; British Antarctic Survey, NERC, Cambridge CB3 0ET, England; Bar Ilan Univ, Gonda Goldschmied Ctr, Ramat Gan, Israel; Bar Ilan Univ, Dept Phys, Ramat Gan, Israel; Univ Fed Parana, Dept Fis, BR-81531970 Curitiba, Parana, Brazil; Univ Fed Pernambuco, Dept Fis, Lab Fis Teor &amp; Computac, BR-50670901 Recife, PE, Brazil; Harvard Univ, Lyman Lab Phys, Cambridge, MA 02138 USA</t>
  </si>
  <si>
    <t>Universidade Federal de Alagoas; Boston University; Boston University; UK Research &amp; Innovation (UKRI); Natural Environment Research Council (NERC); NERC British Antarctic Survey; Bar Ilan University; Bar Ilan University; Universidade Federal do Parana; Universidade Federal de Pernambuco; Harvard University</t>
  </si>
  <si>
    <t>Univ Fed Alagoas, Dept Fis, BR-57072970 Maceio, AL, Brazil.</t>
  </si>
  <si>
    <t>Viswanathan, Gandhimohan/AAF-3937-2020; Raposo, Ernesto P/N-2786-2017; Viswanathan, Gandhimohan M/J-8558-2012; Havlin, Shlomo/ABF-1527-2020; Buldyrev, Sergey V/I-3933-2015; Raposo, Ernesto P./ABA-7215-2020; gomes eleuterio da luz, marcos/H-7835-2012</t>
  </si>
  <si>
    <t>Raposo, Ernesto P/0000-0002-3595-4352; Raposo, Ernesto P./0000-0002-4178-8266; gomes eleuterio da luz, marcos/0000-0003-3865-2621; Buldyrev, Sergey/0000-0002-3008-1070; Viswanathan, Gandhimohan/0000-0002-2301-5593</t>
  </si>
  <si>
    <t>0103-9733</t>
  </si>
  <si>
    <t>1678-4448</t>
  </si>
  <si>
    <t>BRAZ J PHYS</t>
  </si>
  <si>
    <t>Braz. J. Phys.</t>
  </si>
  <si>
    <t>10.1590/S0103-97332001000100018</t>
  </si>
  <si>
    <t>418PF</t>
  </si>
  <si>
    <t>WOS:000167900000018</t>
  </si>
  <si>
    <t>Barbaro, SE; Trevors, JT; Inniss, WE</t>
  </si>
  <si>
    <t>Effects of low temperature, cold shock, and various carbon sources on esterase and lipase activities and exopolysaccharide production by a psychrotrophic Acinetobacter sp.</t>
  </si>
  <si>
    <t>CANADIAN JOURNAL OF MICROBIOLOGY</t>
  </si>
  <si>
    <t>Acinetobacter; cold shock; esterase; lipase; exopolysaccharide</t>
  </si>
  <si>
    <t>CALCOACETICUS BD413; EXTRACELLULAR LIPASE; ANTARCTIC BACTERIA; ARTHROBACTER RAG-1; ESCHERICHIA-COLI; GENE CLONING; EXPRESSION; GROWTH; ELECTROPHORESIS; BIOTECHNOLOGY</t>
  </si>
  <si>
    <t>The activities of isocitrate lyase, esterase, and lipase by the psychrotrophic Acinetobacter sp, strain HH1-1 were monitored during incubation at 25 degreesC, 5 degreesC, and after a 25 degreesC to 5 degreesC down shift in growth temperature. During growth at 25 degreesC, isocitrate lyase activity was detected in cell-free extracts, but at 5 degreesC and after cold shock, activity was measured primarily in the cell culture supernatant. Strain HH1-1 produced two cell-associated esterases and an extracellular esterase and lipase. Activities of the extracellular esterase and lipase were reduced when cells were grown at 5 degreesC and after cold shock. In contrast, an increased synthesis of a 53-kDa cell-associated esterase was observed 50 h after cold shock. An extracellular polysaccharide was also produced, indicated by a decrease in surface tension in cell culture supernatant when cells were incubated at 25 degreesC; but like extracellular enzyme activity, production of the exopolymer was reduced when cells were subjected to low temperatures. These results indicated that the intracellular enzyme, isocitrate lyase, leaked out of the cell after cold shock and during growth at 5 degreesC. The increased activity of a cell-associated esterase suggested this enzyme is required for growth at low temperatures. In contrast, activities of extracellular lipolytic enzymes and production of an extracellular polysaccharide were negatively affected at the lower temperatures.</t>
  </si>
  <si>
    <t>Univ Waterloo, Dept Biol, Waterloo, ON N2L 3G1, Canada; Univ Guelph, Dept Environm Biol, Guelph, ON N1G 2W1, Canada</t>
  </si>
  <si>
    <t>University of Waterloo; University of Guelph</t>
  </si>
  <si>
    <t>Barbaro, SE (corresponding author), Delaware State Univ, Dept Biol Sci, Dover, DE 19901 USA.</t>
  </si>
  <si>
    <t>0008-4166</t>
  </si>
  <si>
    <t>CAN J MICROBIOL</t>
  </si>
  <si>
    <t>Can. J. Microbiol.</t>
  </si>
  <si>
    <t>10.1139/cjm-47-3-194</t>
  </si>
  <si>
    <t>Biochemistry &amp; Molecular Biology; Biotechnology &amp; Applied Microbiology; Immunology; Microbiology</t>
  </si>
  <si>
    <t>418DF</t>
  </si>
  <si>
    <t>WOS:000167873900003</t>
  </si>
  <si>
    <t>Nakamura, T; Abe, O; Hasegawa, T; Tamura, R; Ohta, T</t>
  </si>
  <si>
    <t>Spectral reflectance of snow with a known grain-size distribution in successive metamorphism</t>
  </si>
  <si>
    <t>snow reflective properties; snow optics; snow physics; snow; snow cover; grain-size distribution of snow</t>
  </si>
  <si>
    <t>OPTICAL-PROPERTIES; ANTARCTIC SNOW; ALBEDO; MODEL; SCATTERING; ABSORPTION; RADIATION; ICE</t>
  </si>
  <si>
    <t>The spectral reflectance of snow with a known grain-size distribution was measured experimentally in a cold room under successive metamorphism in the wavelength region 280-2500 nm. Two one-time sequential experiments showed that the spectral reflectance of snow decreased when the snow metamorphosed or aged from new to granular snow by way of compacted snow under the influence of intermittent radiation and freezing. This experimental result was due to the growth of snow grains, as was revealed by measuring the grain size on microscopic photographs taken using the aniline method. It was experimentally confirmed that smaller grain sizes have larger reflectances. It was also found that metamorphism was observed only in the uppermost snow layer, which was about 3 cm thick. This led us to discover that the snow reflectance was strongly affected by the texture of the uppermost layer of the snow surface. (C) 2001 Elsevier Science B.V. All rights reserved.</t>
  </si>
  <si>
    <t>Iwate Univ, Fac Agr, Morioka, Iwate 0208550, Japan; NIED, Shinjo Branch Snow &amp; Ice Studies, Shinjo City, Yamagata 9960091, Japan</t>
  </si>
  <si>
    <t>Iwate University; National Research Institute for Earth Science &amp; Disaster Resilience</t>
  </si>
  <si>
    <t>Iwate Univ, Fac Agr, Morioka, Iwate 0208550, Japan.</t>
  </si>
  <si>
    <t>tom@iwate-u.ac.jp</t>
  </si>
  <si>
    <t>1872-7441</t>
  </si>
  <si>
    <t>10.1016/S0165-232X(01)00019-2</t>
  </si>
  <si>
    <t>423QD</t>
  </si>
  <si>
    <t>WOS:000168187500002</t>
  </si>
  <si>
    <t>Cavaca, H; Caldas, M; Semiao, V</t>
  </si>
  <si>
    <t>Temperature distribution around polar habitation modules buried in ice: numerical modelling</t>
  </si>
  <si>
    <t>ice melting; numerical models; ice temperature distribution; antarctic buildings</t>
  </si>
  <si>
    <t>This work presents a numerical model based on the finite volume approach to predict the ice temperature distribution around buried habitation modules in cold regions, such as patriot Hills in the Antarctic continent. The model allows for the prediction of the possible melting of the ice surrounding the module, which stems from the heat load generated inside it to ensure the specified comfort conditions. Analytical equations for the atmospheric temperature variation, T-chi(t), and for the ice temperature distribution without the habitation module, T(x,t), based on monthly averaged experimental data, are obtained and used in the present work to specify the boundary conditions and the initial condition required for the numerical solution of the governing energy equation. Such equations are, respectively, T-chi(t) = -22.37 + 8.83 cos(0.524t) + 3.92 sin(0.524t) and T(x,t) = -22.37 + e(-0.295x) [8.73 cos(0.524t - 0.296x)+ 3.96 sin(0.524t - 0.296x)]. The convection heat transfer coefficient, h, between the ice surface and the atmosphere is h = 38.6 W/m(2)K. The model is applied to the ice volume surrounding a cylindrical module (r=2 m, H=2 m), with the walls composed of two layers: a 4-cm thick layer of insulation (polyurethane) and 1 cm of a structural reinforcement layer (glass fibre). The results show that for the conditions simulated herein, that is, for the heat load required to ensure a comfort temperature of 15 degreesC inside the module, the ice temperature everywhere is kept far below its melting point. (C) 2001 Elsevier Science B.V. All rights reserved.</t>
  </si>
  <si>
    <t>Univ Tecn Lisboa, Dept Mech Engn, Inst Super Tecn, P-1049001 Lisbon, Portugal</t>
  </si>
  <si>
    <t>Universidade de Lisboa</t>
  </si>
  <si>
    <t>Univ Tecn Lisboa, Dept Mech Engn, Inst Super Tecn, Av Rovisco Pais, P-1049001 Lisbon, Portugal.</t>
  </si>
  <si>
    <t>viriato@navier.ist.utl.pt</t>
  </si>
  <si>
    <t>Semião, Viriato/AAI-9145-2021; Semiao, Viriato/L-3648-2013</t>
  </si>
  <si>
    <t>Semiao, Viriato/0000-0003-0612-8155</t>
  </si>
  <si>
    <t>10.1016/S0165-232X(00)00019-7</t>
  </si>
  <si>
    <t>WOS:000168187500004</t>
  </si>
  <si>
    <t>Whiteley, NM; Robertson, RF; Meagor, J; El Haj, AJ; Taylor, EW</t>
  </si>
  <si>
    <t>Protein synthesis and specific dynamic action in crustaceans: effects of temperature</t>
  </si>
  <si>
    <t>Annual Meeting of the Society-for-Experimental-Biology</t>
  </si>
  <si>
    <t>JUL 30-AUG 03, 2000</t>
  </si>
  <si>
    <t>CAMBRIDGE, ENGLAND</t>
  </si>
  <si>
    <t>crustaceans; specific dynamic action; protein synthesis; oxygen consumption; temperature</t>
  </si>
  <si>
    <t>METABOLIC-RATE; OXYGEN-CONSUMPTION; SYNTHESIS RATES; SUPRALITTORAL ISOPOD; LIGIA-PALLASII; RAINBOW-TROUT; ACTION SDA; MUSCLE; TURNOVER; FISH</t>
  </si>
  <si>
    <t>Temperature influences the specific dynamic action (SDA), or rise in oxygen uptake rate after feeding, in eurythermal and stenothermal crustaceans by changing the timing and the magnitude of the response. Intra-specific studies on the eurythermal crab, Carcinus maenas, show that a reduction in acclimation temperature is associated with a decrease in SDA magnitude, resulting from an increase in SDA duration but a decrease in peak factorial scope (the factorial rise in peak SDA over prefeeding values). Inter-specific feeding studies on stenothermal polar isopods revealed marked differences in SDA response between the Antarctic species, Glyptonotus antarcticus and the Arctic species, Saduria entomon. Compared to S. entomon held at 4 and 13 degreesC, the SDA response in G. antarcticus held at 1 degreesC was characterised by a lower absolute oxygen uptake rate at peak SDA and an extended SDP; duration. At peak SDA, whole animal rates of protein synthesis increased in proportion to the postprandial increase in oxygen uptake rate in the Antarctic and the Arctic species. Rates of oxygen uptake plotted against whole animal rates of protein synthesis gave similar relationships in both isopod species, indicating similar costs of protein synthesis after a meal, despite their differences in SDA response and thermal habitat. (C) 2001 Elsevier Science Inc. All rights reserved.</t>
  </si>
  <si>
    <t>Univ Coll N Wales, Sch Biol Sci, Bangor LL57 2UW, Gwynedd, Wales; Univ Birmingham, Sch BioSci, Birmingham B15 2TT, W Midlands, England; Keele Univ, Postgrad Med Sch, Stoke On Trent 5T4 7QB, Staffs, England</t>
  </si>
  <si>
    <t>Bangor University; University of Birmingham; Keele University</t>
  </si>
  <si>
    <t>Whiteley, NM (corresponding author), Univ Coll N Wales, Sch Biol Sci, Brambell Bldg, Bangor LL57 2UW, Gwynedd, Wales.</t>
  </si>
  <si>
    <t>n.m.whiteley@bangor.ac.uk</t>
  </si>
  <si>
    <t>Haj, Alicia J El/B-3315-2012</t>
  </si>
  <si>
    <t>360 PARK AVE SOUTH, NEW YORK, NY 10010-1710 USA</t>
  </si>
  <si>
    <t>412RN</t>
  </si>
  <si>
    <t>WOS:000167568300013</t>
  </si>
  <si>
    <t>Phleger, CF; Nelson, MM; Mooney, BD; Nichols, PD</t>
  </si>
  <si>
    <t>Interannual variations in the lipids of the Antarctic pteropods Clione limacina and Clio pyramidata</t>
  </si>
  <si>
    <t>COMPARATIVE BIOCHEMISTRY AND PHYSIOLOGY B-BIOCHEMISTRY &amp; MOLECULAR BIOLOGY</t>
  </si>
  <si>
    <t>Antarctic; Clione limacina; Clio pyramidata; diacylglyceryl ethers; fatty acids; lipids; pteropods; sterols</t>
  </si>
  <si>
    <t>FATTY-ACID; EUPHAUSIA-SUPERBA; ZOOPLANKTON; KRILL; THRAUSTOCHYTRIDS; GASTROPODA; AMPHIPOD; BIOMASS; WATERS; ETHERS</t>
  </si>
  <si>
    <t>Antarctic pteropods, Clione limacina (Order Gymnosomata) and Clio pyramidata (order Thecosomata), were collected near Elephant Island, South Shetland Islands, during 1997 and 1998. Total lipid was high in C. limacina (29-36 mg g(-1) wet mass) and included 46% of diacylglyceryl ether (DAGE, as % of total lipid) for both 1997 and 1998. DAGE was not detected in C. pyramidata, which had mainly polar lipid and triacylglycerol. 1-O-Alkyl glyceryl ethers (GE) derived from the DAGE consisted primarily of 15:0 and 16:0, with lower 17:0 and a17:0. The principal sterols of both pteropods included trans-dehydrocholesterol, brassicasterol, 24-methylenecholesterol, cholesterol and desmosterol. Levels of 24-methylenecholesterol and desmosterol were lower in both pteropods in 1997 compared to 1998. C. limacina had high levels of the odd-chain fatty acids 17:1(n - 8)c and 15:0 in contrast to C. pyramidata. The previously proposed source of elevated odd-chain fatty acids in C. limacina is via propionate derived from phytoplankton DMPT; another possible source may be from thraustochytrids, which are common marine microheterotrophs. C. pyramidata had twice as much PUFA as C. limacina, largely due to higher 20:5(n - 3). The PUFA 18:5(n - 3) and very long chain fatty acids (C-24, C-26 and C-28 VLC-PUFA) were only detected in 1998 pteropods. In comparison, 1996 samples of C. limacina contained lower DAGE levels, which also may reflect differences in diet and oceanographic conditions. Interannual variations in specific lipid biomarkers are discussed with respect to possible different phytoplankton food sources available in the AMLR survey area. (C) 2001 Elsevier Science Inc. All rights reserved.</t>
  </si>
  <si>
    <t>San Diego State Univ, Dept Biol, San Diego, CA 92182 USA; Univ Tasmania, Dept Zool, Hobart, Tas 7001, Australia; CSIRO Marine Res, Hobart, Tas 7001, Australia; Antartic CRC, Hobart, Tas 7001, Australia</t>
  </si>
  <si>
    <t>California State University System; San Diego State University; University of Tasmania; Commonwealth Scientific &amp; Industrial Research Organisation (CSIRO)</t>
  </si>
  <si>
    <t>Phleger, CF (corresponding author), San Diego State Univ, Dept Biol, San Diego, CA 92182 USA.</t>
  </si>
  <si>
    <t>phleger@sunstroke.sdsu.edu</t>
  </si>
  <si>
    <t>Nichols, Peter D/C-5128-2011; Nelson, Matthew M/A-6811-2016</t>
  </si>
  <si>
    <t>Nelson, Matthew/0000-0003-4889-3752</t>
  </si>
  <si>
    <t>1096-4959</t>
  </si>
  <si>
    <t>1879-1107</t>
  </si>
  <si>
    <t>COMP BIOCHEM PHYS B</t>
  </si>
  <si>
    <t>Comp. Biochem. Physiol. B-Biochem. Mol. Biol.</t>
  </si>
  <si>
    <t>10.1016/S1096-4959(00)00356-0</t>
  </si>
  <si>
    <t>Biochemistry &amp; Molecular Biology; Zoology</t>
  </si>
  <si>
    <t>412TB</t>
  </si>
  <si>
    <t>WOS:000167569500019</t>
  </si>
  <si>
    <t>Qian, JG; Mopper, K; Kieber, DJ</t>
  </si>
  <si>
    <t>Photochemical production of the hydroxyl radical in Antarctic waters</t>
  </si>
  <si>
    <t>OH radical; Antarctica; seawater; photochemistry; dissolved organic matter; ozone hole; nitrate; UV radiation; quantum yields; photolysis</t>
  </si>
  <si>
    <t>MARINE ORGANISMS; NATURAL-WATERS; UV-B; PHYTOPLANKTON; SEAWATER; ENVIRONMENT; NITRITE; NITRATE; SEA; OH</t>
  </si>
  <si>
    <t>Photochemical production rates and steady-state concentrations of the highly reactive OH radical were determined in Antarctic seawater in the Weddell-Scotia Confluence during the austral spring of 1993 and along the Antarctic Peninsula during the austral summer of 1994. OH radical photoproduction rates were 30 +/- 2 nM/day and 46 +/- 2 nM/day in surface open oceanic and coastal waters, respectively. Corresponding steady-state concentrations were 2.6 x 10(-19) and 4.3 x 10(-19) M which are similar to those found in tropical latitudes. In-situ irradiation experiments (drifter deployments) at different depths in the upper water column indicated that multiple sources for the OH radical existed at three Antarctic stations. Ultrafiltration studies and model calculations based on wavelength-dependent OH radical quantum yields indicated that the main sources were photochemical reactions of low molecular weight dissolved organic matter (DOM), nitrate, and nitrite. Production of the ON radical from nitrate photolysis was almost exclusively UV-B dependent, while OH radical production from nitrite photolysis was mainly UV-A dependent. OH production from DOM photolysis was both UV-A and UV-B dependent. In the upper few meters at open oceanic sites, nitrate and DOM were the dominant OH radical sources, while deeper in the water column DOM and nitrite were important because of the greater importance of UV-A with depth. During non-ozone hole conditions, nitrate contributed about 33%, while DOM plus nitrite contributed about 67% of the predicted OH radical production in open oceanic surface waters. During an ozone hole (151 Dobson units), the corresponding percentages changed to about 40 and 60% for nitrate and DOM due to the higher UV-B irradiance. Model calculations predict that during an ozone hole (151 Dobson units), OH radical production in surface waters will be enhanced by at least 20%, mostly from nitrate photolysis and to a lesser extent from DOM photochemical reactions. This study indicates that ozone hole events significantly increase OH radical production, as well as the photolysis of DOM, in Antarctic waters, and that rates can be as high or higher than those at lower latitudes, especially if differences in temperature and solar irradiance are taken into account. (C) 2000 Elsevier Science Ltd. All rights reserved.</t>
  </si>
  <si>
    <t>Washington State Univ, Dept Chem, Pullman, WA 99164 USA; SUNY Syracuse, Dept Chem, Coll Environm Sci &amp; Forestry, Syracuse, NY 13210 USA</t>
  </si>
  <si>
    <t>Washington State University; State University of New York (SUNY) System; State University of New York (SUNY) College of Environmental Science &amp; Forestry</t>
  </si>
  <si>
    <t>Mopper, K (corresponding author), Old Dominion Univ, Dept Chem &amp; Biochem, Norfolk, VA 23508 USA.</t>
  </si>
  <si>
    <t>Qian, Jiangu/HNI-5376-2023; Mopper, Kenneth/J-1761-2012</t>
  </si>
  <si>
    <t>MOPPER, KENNETH/0000-0001-8089-6019</t>
  </si>
  <si>
    <t>10.1016/S0967-0637(00)00068-6</t>
  </si>
  <si>
    <t>377ZL</t>
  </si>
  <si>
    <t>WOS:000165556300006</t>
  </si>
  <si>
    <t>Yu, EF; Francois, R; Bacon, MP; Honjo, S; Fleer, AP; Manganini, SJ; van der Loeff, MMR; Ittekot, V</t>
  </si>
  <si>
    <t>Trapping efficiency of bottom-tethered sediment traps estimated from the intercepted fluxes of 230Th and 231Pa</t>
  </si>
  <si>
    <t>particulate flux; radioisotopes; protactinium; thorium; calcite dissolution</t>
  </si>
  <si>
    <t>DEEP SARGASSO SEA; NORTH-ATLANTIC; SOUTHERN-OCEAN; PACIFIC-OCEAN; GEOCHEMICAL SIGNIFICANCE; PARTICLE FLUXES; PANAMA BASIN; ARABIAN SEA; POLAR FRONT; WATER</t>
  </si>
  <si>
    <t>The trapping efficiency of bottom-tethered deep-sea sediment traps deployed in four oceanic basins was estimated from the intercepted fluxes of Pa-231 and Th-230. The results validate the general use of baffled, conical sediment traps for measuring the settling flux of particles in the bathypelagic zone (depth &gt; 1200 m) of the open ocean where current velocity is generally low. At shallower depths, within the mesopelagic zone, trapping efficiency tends to be lower and more erratic, even in areas of low current velocity (&lt; 10 cm s(-1)). It is suggested that depth-related changes in trapping efficiency reflect changes in the hydrodynamic properties of particles that undergo multiple cycles of aggregation and disaggregation while settling through the water column. At the ocean margins and in the Southern Ocean, the uncertainties in our estimates of trapping efficiency are very large because of the paucity of water column data on the distribution of Th-230 and Pa-231. Nonetheless, we could document large undertrapping for a trap deployed at 700 m in the Antarctic Circumpolar Current (ACC) near the Polar Front. Near continental margins, the flux of Th-230 intercepted by the traps often exceeds the predicted vertical flux, a result that we attribute not to hydrodynamic overtrapping, but to resuspension and lateral transport of slope sediment into the traps. After correction of the particle flux data obtained during the North Atlantic Bloom Experiment for trapping efficiency, carbonate fluxes decrease by 30-40% within the bathypelagic zone above the calcite saturation horizon, possibly a result of calcite dissolution induced by metabolic CO2 released in microenvironments, or aragonite and magnesian calcite dissolution below their saturation horizons. Aluminum fluxes remain constant with depth and indicate minimal lateral input, even in the deeper traps. The corrected fluxes indicate that the apparent increase in lithogenic particle flux with depth previously observed in this region is mainly a sampling artifact resulting from the low trapping efficiency of the traps deployed in the mesopelagic zone. (C) 2000 Published by Elsevier Science Ltd.</t>
  </si>
  <si>
    <t>Woods Hole Oceanog Inst, Woods Hole, MA 02543 USA; Natl Taiwan Normal Univ, Taipei, Taiwan; Alfred Wegener Inst Polar &amp; Marine Res, D-2850 Bremerhaven, Germany; Univ Hamburg, Inst Biogeochem &amp; Marine Chem, D-2000 Hamburg, Germany</t>
  </si>
  <si>
    <t>Woods Hole Oceanographic Institution; National Taiwan Normal University; Helmholtz Association; Alfred Wegener Institute, Helmholtz Centre for Polar &amp; Marine Research; University of Hamburg</t>
  </si>
  <si>
    <t>Francois, R (corresponding author), Woods Hole Oceanog Inst, Woods Hole, MA 02543 USA.</t>
  </si>
  <si>
    <t>10.1016/S0967-0637(00)00067-4</t>
  </si>
  <si>
    <t>WOS:000165556300011</t>
  </si>
  <si>
    <t>Wareham, CD; Stump, E; Storey, BC; Millar, IL; Riley, TR</t>
  </si>
  <si>
    <t>Petrogenesis of the Cambrian Liv Group, a bimodal volcanic rock suite from the Ross orogen, Transantarctic Mountains</t>
  </si>
  <si>
    <t>bimodal magmas; geochemistry; Liv Group; rifting; Ross orogeny; Transantarctic Mountains</t>
  </si>
  <si>
    <t>LA-GORCE MOUNTAINS; GEOCHEMICAL EVIDENCE; PENSACOLA MOUNTAINS; CONTINENTAL-CRUST; ANTARCTIC MARGIN; PACIFIC MARGIN; VICTORIA-LAND; UNITED-STATES; MANTLE; GONDWANA</t>
  </si>
  <si>
    <t>Cambrian volcanic rocks of the Liv Group, defined here as including the Wyatt, Ackerman, Taylor, Fairweather, and Leverett Formations, occur along the paleo-Pacific margin of Gondwana, in the Queen Maud Mountains, Transantarctic Mountains. The Ackerman and Wyatt Formations are dominated by massive dacite lava flows and were erupted ca, 525 Ma. The Taylor, Fairweather, and Leverett Formations form a bimodal assemblage of basalts and rhyolites and were erupted ca, 515 Ma. The dacites of the Ackerman and Wyatt Formations are the most light rare earth element (REE) and large ion lithophile element (LILE) enriched rocks (La-N/Yb-N = 6.6-10.2; Th/Nb = 0.9-1.8) of the Liv Group. They have the lowest epsilon Nd-i (-1.8 to -3.1) of all the Liv Group volcanic rocks and are interpreted to be partial melts of continental crust, Sm-Nd model ages suggest that some of this crust may be as old as 1.5 Ga. The volumetrically minor basalts and basaltic andesites of the Taylor, Fairweather, and Leverett Formations are variably light REE and LILE enriched (varying from La-N/Yb-N = 1.5 to 6.0) and have epsilon Nd-i between 5.7 and -1.1, The most depleted of these basalts are transitional between normal midocean ridge basalt (MORB) and enriched MORB and are interpreted as melts of asthenospheric mantle that were variably enriched in light REE and LILE by melts from lithospheric mantle and/or continental crust, The rhyolites of the Taylor, Fairweather, and Leverett Formations have La-N/Yb-N = 2.8-6.0, Th/Nb = 1.0-1.6, and epsilon Nd, between 2.1 and -2.8 and are interpreted as mixtures of fractionated mafic magma and crustal partial melt. The Liv Group rhyolites were probably generated in response to the mafic magmatism, The most likely tectonic setting for the Liv Group was in an extensional rift environment within or behind an active volcanic are.</t>
  </si>
  <si>
    <t>Arizona State Univ, Dept Geol Sci, Tempe, AZ 85287 USA; British Geol Survey, Nat Environm Res Council, Nottingham NG12 5GG, England; British Antarctic Survey, Cambridge CB3 0ET, England</t>
  </si>
  <si>
    <t>Arizona State University; Arizona State University-Tempe; UK Research &amp; Innovation (UKRI); Natural Environment Research Council (NERC); NERC British Geological Survey; UK Research &amp; Innovation (UKRI); Natural Environment Research Council (NERC); NERC British Antarctic Survey</t>
  </si>
  <si>
    <t>Wareham, CD (corresponding author), Arizona State Univ, Dept Geol Sci, Tempe, AZ 85287 USA.</t>
  </si>
  <si>
    <t>Millar, Ian L/F-1541-2010</t>
  </si>
  <si>
    <t>ASSOC ENGINEERING GEOLOGISTS GEOLOGICAL SOCIETY AMER</t>
  </si>
  <si>
    <t>COLLEGE STN</t>
  </si>
  <si>
    <t>TEXAS A &amp; M UNIV, DEPT GEOLOGY &amp; GEOPHYSICS, COLLEGE STN, TX 77843-3115 USA</t>
  </si>
  <si>
    <t>10.1130/0016-7606(2001)113&lt;0360:POTCLG&gt;2.0.CO;2</t>
  </si>
  <si>
    <t>405WN</t>
  </si>
  <si>
    <t>WOS:000167183700006</t>
  </si>
  <si>
    <t>Wilson, FEA; Harvey, BMR; McAdam, JH; Walton, DWH</t>
  </si>
  <si>
    <t>The response of Whitegrass [Cortaderia pilosa (D'Urv.) Hack.] to nitrogen nutrition</t>
  </si>
  <si>
    <t>GRASS AND FORAGE SCIENCE</t>
  </si>
  <si>
    <t>Whitegrass; nitrogen nutrition; ammonium-N; nitrate-N; hydroponics</t>
  </si>
  <si>
    <t>ZEA-MAYS-L; AMMONIUM; NITRATE; GROWTH; PLANTS</t>
  </si>
  <si>
    <t>To investigate the potential for increasing Falkland Island Whitegrass [Cortaderia pilosa (D'Urv.) Hack.] pasture production through application of nitrogen (N) fertilizer, two hydroponic experiments were conducted. First, 5 mg l(-1) N was supplied to plants as nitrate (NO3-), urea [CO(NH2)(2)], ammonium (NH4+), or a nine parts NH4+ one part NO3- mixture. At harvest, plants grown in a NO3- medium had about half the biomass of plants grown in a NH4+ medium. In the second experiment plants were supplied with 1, 3, 10, 30 or 100 mg l(-1) NH4+-N Plants at 1 and 3 mg l(-1) N had the largest biomass of young root and the lowest shoot-root ratios. Leaf extension rate was low in the 1 mg l(-1) N treatment. Plants given 10 mg l(-1) N had the greatest proportion of green shoot material but little root growth; while those at 100 mg l(-1) N produced ver little shoot and root biomass. Preferential assimilation of NH4+-N and a low N requirement make Whitegrass well adapted to dominating vegetation on much of the Falkland Islands.</t>
  </si>
  <si>
    <t>Queens Univ Belfast, NIHPBS, Dept Appl Plant Sci, Armagh BT61 8JP, North Ireland; Dept Agr &amp; Rural Dev, Belfast, Antrim, North Ireland; British Antarctic Survey, Cambridge CB3 0ET, England</t>
  </si>
  <si>
    <t>Queens University Belfast; UK Research &amp; Innovation (UKRI); Natural Environment Research Council (NERC); NERC British Antarctic Survey</t>
  </si>
  <si>
    <t>McAdam, JH (corresponding author), Queens Univ Belfast, NIHPBS, Dept Appl Plant Sci, Manor House, Armagh BT61 8JP, North Ireland.</t>
  </si>
  <si>
    <t>0142-5242</t>
  </si>
  <si>
    <t>GRASS FORAGE SCI</t>
  </si>
  <si>
    <t>Grass Forage Sci.</t>
  </si>
  <si>
    <t>10.1046/j.1365-2494.2001.00252.x</t>
  </si>
  <si>
    <t>Agronomy</t>
  </si>
  <si>
    <t>420HU</t>
  </si>
  <si>
    <t>WOS:000168000200009</t>
  </si>
  <si>
    <t>Pallàs, R; Smellie, JL; Casas, JM; Calvet, J</t>
  </si>
  <si>
    <t>Using tephrochronology to date temperate ice:: correlation between ice tephras on Livingston Island and eruptive units on Deception Island volcano (South Shetland Islands, Antarctica)</t>
  </si>
  <si>
    <t>Tephra; tephrochronology; geochemistry; late Holocene; historical volcanic eruptions; Deception Island</t>
  </si>
  <si>
    <t>RECORD; CORES</t>
  </si>
  <si>
    <t>Tephra layers are interstratified in the ice caps of the South Shetland Islands. Although previously poorly investigated, they are potential targets for the application of tephrochronology and, hence, may provide temporal constraints on glaciological models for the region. Several tephra layers crop out in the coastal ice-cliffs and ablation ramps of Livingston Island. Using stratigraphical position, granulometry and bulk sample geochemistry, the tephra layers can be divided into three groups (TPH1, TPH2 and TPH3, from top to base). The source for all of the tephras is unequivocally identified as Deception Island, a large active volcano in Bransfield Strait, situated about 35 km south of Livingston Island. TPH1 (a single layer) is strongly correlated compositionally with tephra erupted in 1970 from centres close to Telefon Bay. This is the first time it has been possible to correlate a distal tephra with a pyroclastic unit in the source volcano in the Antarctic Peninsula region. TPH2 (usually two layers, sometimes only one) was probably erupted from a tuff cone centre within the Crater Lake cluster of vents. From historical accounts, it is deduced that the numerous co-eruptive Crater Lake vents were active prior to 1829 and, from their relatively fresh appearance, an eighteen-century age for the eruptions is possible. TPH3 comprises at least four discrete tephra layers with a much wider compositional range than either TPH1 or TPH2. It may have been erupted during successive months or years. Compositional comparisons of TPH3 with possible source vents on Deception Island are ambiguous, but there is a reasonably good similarity with tephras erupted at Wensleydale Beacon and/or Vapour Col. However, it is also conceivable that the source(s) for TPH3 are no longer preserved on Deception Island. The age of the TPH3 eruptions is unknown but it must be prior to 1829 and is unlikely to be more than a few centuries.</t>
  </si>
  <si>
    <t>Univ Barcelona, Dept Geodinam &amp; Geofis, E-08028 Barcelona, Spain; British Antarctic Survey, Nat Environm Res Council, Cambridge CB3 OET, England</t>
  </si>
  <si>
    <t>University of Barcelona; UK Research &amp; Innovation (UKRI); Natural Environment Research Council (NERC); NERC British Antarctic Survey</t>
  </si>
  <si>
    <t>Pallàs, R (corresponding author), Univ Barcelona, Dept Geodinam &amp; Geofis, Marti Franques S-N, E-08028 Barcelona, Spain.</t>
  </si>
  <si>
    <t>Pallas Serra, Raimon/N-6895-2013</t>
  </si>
  <si>
    <t>Pallas Serra, Raimon/0000-0002-2768-6466; Casas Tuset, Josep Maria/0000-0001-7760-7028</t>
  </si>
  <si>
    <t>NERC [bas010002] Funding Source: UKRI; Natural Environment Research Council [bas010002] Funding Source: researchfish</t>
  </si>
  <si>
    <t>NERC(UK Research &amp; Innovation (UKRI)Natural Environment Research Council (NERC)); Natural Environment Research Council(UK Research &amp; Innovation (UKRI)Natural Environment Research Council (NERC))</t>
  </si>
  <si>
    <t>10.1191/095968301669281809</t>
  </si>
  <si>
    <t>405QC</t>
  </si>
  <si>
    <t>WOS:000167169700002</t>
  </si>
  <si>
    <t>Wang, JR; Racette, PE; Triesky, ME</t>
  </si>
  <si>
    <t>Retrieval of precipitable water vapor by the millimeter-wave imaging radiometer in the arctic region during FIRE-ACE</t>
  </si>
  <si>
    <t>IEEE TRANSACTIONS ON GEOSCIENCE AND REMOTE SENSING</t>
  </si>
  <si>
    <t>CLOUD; MODEL</t>
  </si>
  <si>
    <t>Millimeter-wave radiometric measurements obtained from the NASA ER-2 aircraft over the arctic region on May 20, 1998, were used to estimate precipitable water (PW) in the range less than or equal to 0.60 g/cm(2). The approach is a modified version of the recent work by Miao [1], which utilized the radiometric measurements at 150, 183.3 +/- 3, and 183.3 +/- 7 GHz of the SSM/T-2 sensor to retrieve PW over the antarctic region. However, Miao has implicitly assumed a surface emissivity that is frequency independent over the 150-183 GHz range, This assumption turns out not to be a good one based on the airborne measurements described below and the errors introduced in the PW estimation were substantial in many cases. It is shown below that four-frequency radiometric measurements in the frequency range of 150-220 GHz provided a robust retrieval of PW, while allowing for a surface emissivity that varied linearly with frequency, The retrieved PW compared favorably with that calculated from rawinsonde data at two widely separated locations, The differences between the retrieved and calculated values are not more than +/-0.02 g/cm(2), which is smaller than errors associated with measurement uncertainty. It is found necessary to account for the double side-band nature of the 183.3 GHz measurements in the raditive transfer calculations for development of the retrieval algorithm, The PW values estimated from the algorithm developed from single side band, 183.3 GHz radiative transfer calculations could be in error by as much as +/-0.10 g/cm(2). Finally, the effect of surface temperature variations is shown to introduce only a small error in the estimation of PW.</t>
  </si>
  <si>
    <t>NASA, Goddard Space Flight Ctr, Lab Hydrospher Proc, Greenbelt, MD 20771 USA</t>
  </si>
  <si>
    <t>Wang, JR (corresponding author), NASA, Goddard Space Flight Ctr, Lab Hydrospher Proc, Greenbelt, MD 20771 USA.</t>
  </si>
  <si>
    <t>IEEE-INST ELECTRICAL ELECTRONICS ENGINEERS INC</t>
  </si>
  <si>
    <t>345 E 47TH ST, NEW YORK, NY 10017-2394 USA</t>
  </si>
  <si>
    <t>0196-2892</t>
  </si>
  <si>
    <t>IEEE T GEOSCI REMOTE</t>
  </si>
  <si>
    <t>IEEE Trans. Geosci. Remote Sensing</t>
  </si>
  <si>
    <t>10.1109/36.911117</t>
  </si>
  <si>
    <t>Geochemistry &amp; Geophysics; Engineering, Electrical &amp; Electronic; Remote Sensing; Imaging Science &amp; Photographic Technology</t>
  </si>
  <si>
    <t>Geochemistry &amp; Geophysics; Engineering; Remote Sensing; Imaging Science &amp; Photographic Technology</t>
  </si>
  <si>
    <t>413TM</t>
  </si>
  <si>
    <t>WOS:000167628100012</t>
  </si>
  <si>
    <t>Davis, CH; Belu, RG; Feng, G</t>
  </si>
  <si>
    <t>Elevation change measurement of the East Antarctic Ice Sheet, 1978 to 1988, from satellite radar altimetry</t>
  </si>
  <si>
    <t>Arctic regions; radar altimetry</t>
  </si>
  <si>
    <t>SURFACE-PROPERTIES; MODEL</t>
  </si>
  <si>
    <t>Seasat and Geosat satellite radar altimeter measurements over the East Antarctic Ice Sheet (EAIS) are analyzed to determine surface elevation change over the period from 1978 to 1988, The results show that the average elevation change over 1.7 x 10(6) km(2) of the EAIS is -0.4 +/- 1.8 cm/yr and is therefore not significantly different than zero. This result is in very good agreement with ERS-1/2 radar altimeter estimates of EAIS elevation change from 1992 to 1996, The combined results suggest that the EAIS has been close to a state of balance for two decades. This further reduces the likelihood that recent changes in snow accumulation have masked a long-term mass imbalance in the EAIS.</t>
  </si>
  <si>
    <t>Univ Missouri, Dept Elect Engn, Columbia, MO 65211 USA; Wayne State Univ, Dept Engn Technol, Detroit, MI 48202 USA; Garmin Int, Olathe, KS 66062 USA</t>
  </si>
  <si>
    <t>University of Missouri System; University of Missouri Columbia; Wayne State University; Garmin Corporation</t>
  </si>
  <si>
    <t>Univ Missouri, Dept Elect Engn, Columbia, MO 65211 USA.</t>
  </si>
  <si>
    <t>davisch@missouri.edu</t>
  </si>
  <si>
    <t>PISCATAWAY</t>
  </si>
  <si>
    <t>445 HOES LANE, PISCATAWAY, NJ 08855-4141 USA</t>
  </si>
  <si>
    <t>1558-0644</t>
  </si>
  <si>
    <t>10.1109/36.911120</t>
  </si>
  <si>
    <t>WOS:000167628100015</t>
  </si>
  <si>
    <t>Krzyscin, JW; Sobolewski, PS</t>
  </si>
  <si>
    <t>The surface UV-B irradiation in the Arctic:: observations at the Polish polar station, Hornsund (77°N, 15°E), 1996-1997</t>
  </si>
  <si>
    <t>solar UV-B radiation; Arctic; data analyses; statistical models</t>
  </si>
  <si>
    <t>ANTARCTIC OZONE DEPLETION</t>
  </si>
  <si>
    <t>Measurements of the UV-B radiation reaching ground level at the Polish polar station, Hornsund (Svalbard, 77 degrees N, 15 degrees 30'E, 11 m a.s.l.), have been carried out since February 1996 by means of a temperature stabilized Robertson-Berger-type meter. The seasonal pattern of UV dose and UV index, and factors affecting the UV-B level there are studied for the period March-October of 1996 and 1997. The quality of the UV measurements is assured by comparisons of the instrument readings with those calculated from a radiative transfer model under clear-sky conditions. A statistical method is proposed to examine the year-to-year drift of the instrument readings. The maximum value of UV daily dose and UV index are found in late spring of 10.2 MED (1 MED = 210 J(eff) m(-2)) and 2.5, respectively. The maximum UV irradiance at the midnight is congruent to4 mW(eff) m(-2). The seasonal pattern of UV daily dose appears to be asymmetric relative to the summer solstice. All-weather UV measurements taken in early spring provided much higher (congruent to 50%) UV irradiances than the corresponding measurements in late summer because of larger ground albedo and atmospheric transparency (due to smaller cloud/aerosol optical depth) in early spring. Depletion of total ozone is not the only source of the UV trend over Arctic. It is found that long-term (1965-1997) changes in the cloud cover over southern Svalbard had significant impact on the UV level there. (C) 2001 Elsevier Science Ltd. All rights reserved.</t>
  </si>
  <si>
    <t>Polish Acad Sci, Inst Geophys, PL-01452 Warsaw, Poland</t>
  </si>
  <si>
    <t>Polish Academy of Sciences; Institute of Geophysics of the Polish Academy of Sciences</t>
  </si>
  <si>
    <t>Krzyscin, JW (corresponding author), Polish Acad Sci, Inst Geophys, Ks Janusza 64 St, PL-01452 Warsaw, Poland.</t>
  </si>
  <si>
    <t>Sobolewski, Piotr/0000-0002-0583-2514; Krzyscin, Janusz/0000-0002-3138-3951</t>
  </si>
  <si>
    <t>405KE</t>
  </si>
  <si>
    <t>WOS:000167157900003</t>
  </si>
  <si>
    <t>Lonhienne, T; Mavromatis, K; Vorgias, CE; Buchon, L; Gerday, C; Bouriotis, V</t>
  </si>
  <si>
    <t>Cloning, sequences, and characterization of two chitinase genes from the antarctic Arthrobacter sp strain TAD20:: Isolation and partial characterization of the enzymes</t>
  </si>
  <si>
    <t>JOURNAL OF BACTERIOLOGY</t>
  </si>
  <si>
    <t>BACTERIUM VIBRIO-FURNISSII; BACILLUS-CIRCULANS WL-12; MARINE BACTERIUM; BINDING DOMAIN; ALTEROMONAS-HALOPLANCTIS; SERRATIA-MARCESCENS; GLYCOSYL HYDROLASES; MOLECULAR-CLONING; CATABOLIC CASCADE; CRYSTAL-STRUCTURE</t>
  </si>
  <si>
    <t>Arthrobacter sp. strain TAD20, a chitinolytic gram-positive organism, was isolated from the sea bottom along the Antarctic ice shell. Arthrobacter sp. strain TAD20 secretes two major chitinases, ChiA and ChiB (ArChiA and ArChiB), in response to chitin induction. A single chromosomal DNA fragment containing the genes coding for both chitinases was cloned in Escherichia coli. DNA sequencing analysis of this fragment revealed two contiguous open reading frames coding for the precursors of ArChiA (881 amino acids [aa]) and ArChiB (578 aa). ArChiA and ArChiB are modular enzymes consisting of a glycosyl-hydrolase family 18 catalytic domain as well as two and one chitin-binding domains, respectively. The catalytic domain of ArChiA exhibits 55% identity with a chitodextrinase from Vibro furnissii. The ArChiB catalytic domain exhibits 33% identity with chitinase A of Bacillus circulans. The ArChiA chitin-binding domains are homologous to the chitin-binding domain of ArChiB. ArChiA and ArChiB were purified to homogeneity from the native Arthrobacter strain and partially characterized. Thermal unfolding of ArChiA, ArChiB, and chitinase A of Serratia marcescens was studied using differential scanning calorimetry. ArChiA and ArChiB, compared to their mesophilic counterpart, exhibited increased heat lability, similar to other cold-adapted enzymes.</t>
  </si>
  <si>
    <t>Univ Crete, Dept Biol, Div Appl Biol &amp; Biotechnol, Iraklion 71110, Crete, Greece; Univ Liege, Inst Chem B6, Biochem Lab, B-4000 Liege, Belgium; Univ Crete, Inst Mol Biol &amp; Biotechnol, Enzyme Technol Div, Iraklion 71110, Crete, Greece; Univ Athens, Fac Biol, Dept Biochem Mol Biol, Athens 15701, Greece; Inst Univ Technol, Lab Microbiol Froid, F-27000 Evreux, France</t>
  </si>
  <si>
    <t>University of Crete; University of Liege; University of Crete; National &amp; Kapodistrian University of Athens</t>
  </si>
  <si>
    <t>Univ Crete, Dept Biol, Div Appl Biol &amp; Biotechnol, POB 1470, Iraklion 71110, Crete, Greece.</t>
  </si>
  <si>
    <t>bouriotis@imbb.forth.gr</t>
  </si>
  <si>
    <t>Lonhienne, Thierry/A-5828-2011</t>
  </si>
  <si>
    <t>0021-9193</t>
  </si>
  <si>
    <t>1098-5530</t>
  </si>
  <si>
    <t>J BACTERIOL</t>
  </si>
  <si>
    <t>J. Bacteriol.</t>
  </si>
  <si>
    <t>10.1128/JB.183.5.1773-1779.2001</t>
  </si>
  <si>
    <t>401TD</t>
  </si>
  <si>
    <t>WOS:000166943600032</t>
  </si>
  <si>
    <t>Thomas, T; Kumar, N; Cavicchioli, R</t>
  </si>
  <si>
    <t>Effects of ribosomes and intracellular solutes on activities and stabilities of elongation factor 2 proteins from psychrotolerant and thermophilic methanogens</t>
  </si>
  <si>
    <t>MICROBIAL DIVERSITY; PLANKTONIC ARCHAEA; COMPATIBLE SOLUTES; ESCHERICHIA-COLI; LOW-TEMPERATURE; GTP HYDROLYSIS; ACE LAKE; SP-NOV; METHANOSARCINA; STABILIZATION</t>
  </si>
  <si>
    <t>Low-temperature-adapted archaea are abundant in the environment, yet little is known about the thermal adaptation of their proteins. We have previously compared elongation factor 2 (EF-2) proteins from Antarctic (Methanococcoides burtonii) and thermophilic (Methanosarcina thermophila) methanogens and found that the M. burtonii EF-2 had greater intrinsic activity at low temperatures and lower thermal stability at high temperatures (T. Thomas and R. Cavicchioli, J. Bacteriol. 182:1328-1332, 2000), While the gross thermal properties correlated with growth temperature, the activity and stability profiles of the EF-2 proteins did not precisely match the optimal growth temperature of each organism, This indicated that intracellular components may affect the thermal characteristics of the EF-2 proteins, and in this study we examined the effects of ribosomes and intracellular solutes. At a high growth temperature the thermophile produced high levels of potassium glutamate, which, when assayed in vitro with EF-2, retarded thermal unfolding and increased catalytic efficiency. In contrast, for the Antarctic methanogen adaptation to growth at a low temperature did not involve the accumulation of stabilizing organic solutes but appeared to result from an increased affinity of EF-2 for GTP and high levels of EF-2 in the cell relative to its low growth rate. Furthermore, ribosomes greatly stimulated GTPase activity and moderately stabilized both EF-2 proteins. These findings illustrate the different physiological strategies that have evolved in two phylogenetically related but thermally distinct methanogens to enable EF-2 to function satisfactorily.</t>
  </si>
  <si>
    <t>Univ New S Wales, Sch Microbiol &amp; Immunol, Sydney, NSW 2052, Australia; Univ New S Wales, Sch Chem, Sydney, NSW 2052, Australia</t>
  </si>
  <si>
    <t>Univ New S Wales, Sch Microbiol &amp; Immunol, Sydney, NSW 2052, Australia.</t>
  </si>
  <si>
    <t>r.cavicchioli@unsw.edu.au</t>
  </si>
  <si>
    <t>Cavicchioli, Ricardo/D-4341-2013</t>
  </si>
  <si>
    <t>Cavicchioli, Ricardo/0000-0001-8989-6402; Kumar, Naresh/0000-0002-0951-9621; Thomas, Torsten/0000-0001-9557-3001</t>
  </si>
  <si>
    <t>10.1128/JB.183.6.1974-1982.2001</t>
  </si>
  <si>
    <t>407FJ</t>
  </si>
  <si>
    <t>WOS:000167261300016</t>
  </si>
  <si>
    <t>Wilkinson, DM</t>
  </si>
  <si>
    <t>What is the upper size limit for cosmopolitan distribution in free-living microorganisms?</t>
  </si>
  <si>
    <t>Testate amoebae; rhizopoda; microbial biodiversity; polar ecology; cosmopolitan distribution</t>
  </si>
  <si>
    <t>PROBABILITY-BASED APPROACH; PROTOZOAN GENUS NEBELA; TESTATE AMEBAS; MICROBIAL DIVERSITY; SOUTHERN TEMPERATE; ANTARCTIC ZONES; BIOGEOGRAPHY; RHIZOPODA; BIOSPHERE; ECOLOGY</t>
  </si>
  <si>
    <t>A comparison of restate amoebae assemblages from the Arctic and Antarctic (areas of similar habitat a maximum distance apart) is used to try and answer the question 'What is the upper size limit for cosmopolitan distribution in free-living microbes?' Species restricted to either the Arctic or Antarctic exhibited sizes up to 230 mum while the largest cosmopolitan species was 135 mum in size. Comparison of the restate assemblages using a multivariate classificatory technique (TWINSPAN) also suggested more restricted distribution for the larger species. There was a negative relationship between species size and number of sites at which it was recorded (r(s) = -0.261, P &lt; 0.05), with all the more widespread species having a size of below 100 m. It is suggested that for restate amoebae cosmopolitan distributions become common below 100-150 mum. This suggests that most species of restate (indeed most free-living microbes) have low species richness because of lack of opportunities for allopatric speciation as most are below 100 Irm and so geographical isolation is unlikely. It is suggested that if this is correct, only the largest free-living microbes (&gt; 150 mum) are likely to be of conservation concern because of their smaller ranges. However, I point out that currently different studies are giving very different answers to the question, how ubiquitous and species rich are free-living microbes? The subject requires further work to try and reconcile these different results.</t>
  </si>
  <si>
    <t>Liverpool John Moores Univ, Dept Biol &amp; Earth Sci, Liverpool L3 3AF, Merseyside, England</t>
  </si>
  <si>
    <t>Liverpool John Moores University</t>
  </si>
  <si>
    <t>Wilkinson, DM (corresponding author), Liverpool John Moores Univ, Dept Biol &amp; Earth Sci, Byrom St, Liverpool L3 3AF, Merseyside, England.</t>
  </si>
  <si>
    <t>10.1046/j.1365-2699.2001.00518.x</t>
  </si>
  <si>
    <t>449MJ</t>
  </si>
  <si>
    <t>WOS:000169689800001</t>
  </si>
  <si>
    <t>Allen, KJ; Cook, ER; Francey, RJ; Michael, K</t>
  </si>
  <si>
    <t>The climatic response of Phyllocladus aspleniifolius (Labill.) Hook. f in Tasmania</t>
  </si>
  <si>
    <t>Tasmania; tree-ring chronologies; spatial response; temporally changing response</t>
  </si>
  <si>
    <t>COOL TEMPERATE RAINFOREST; TREE-RING CHRONOLOGY; DENDROCLIMATIC TECHNIQUES; AUSTRALIA; RECONSTRUCTION; VARIABILITY; SUMMER; GROWTH; PLANTS</t>
  </si>
  <si>
    <t>Aim To examine the response of ring widths of Phyllocladus aspleniifolius to maximum and minimum temperatures and to a zonal index (ZI). Location Tasmania, Australia. Methods Between two and four increment cores were obtained from approximately 20 trees at each of 16 sires of P. aspleniifolius across Tasmania. Four regions were defined and temperature data for climate stations from each of these regions were transformed into dimensionless time series appropriate for each region. The ZI was constructed from Melbourne and Hobart mean sea level pressure (MSLP). Correlations were calculated between climate data and ring widths over most of the 20th century. Data were then segregated into two subperiods to assess whether or not temporal changes in ring width response have occurred over the 20th century. Results The dominant feature of the correlation functions was a negative correlation with temperatures of the previous growing season. Correlation between the ZI and ring width is most significant, and positive, in November and March of the previous growing season. Differences in the shape of the correlation functions, and their strength is apparent over the course of the century. In general, correlations have become weaker and less consistent among the 16 sites for the latter part of the century. Temperatures have generally increased during the 1900s over which time period correlations have been calculated. Main conclusions The temporally changing climatic response in ring widths is consistent with a hypothesis of competition for resources between different parts of a plant. A nonlinear response to climate over a short-time period violates one of the basic assumptions of dendroclimatology, therefore suggesting further investigation of both the physiology of trees used for dendroclimatological purposes and the statistical methods used for climatic reconstruction.</t>
  </si>
  <si>
    <t>Univ Tasmania, Sch Geog &amp; Environm Studies, Hobart, Tas 7001, Australia; Lamont Doherty Earth Observ, Treering Lab, Palisades, NY 10964 USA; CSIRO, Div Atmospher Res, Aspendale, Vic 3195, Australia; Univ Tasmania, Inst Antarctic &amp; So Ocean Studies, Hobart, Tas 7001, Australia</t>
  </si>
  <si>
    <t>University of Tasmania; Columbia University; Commonwealth Scientific &amp; Industrial Research Organisation (CSIRO); University of Tasmania</t>
  </si>
  <si>
    <t>Allen, KJ (corresponding author), Univ Tasmania, Sch Geog &amp; Environm Studies, GPO Box 252-78, Hobart, Tas 7001, Australia.</t>
  </si>
  <si>
    <t>Allen, Kathryn/AAH-8535-2019; Francey, Roger J/A-2345-2012; Michael, Kelvin/J-7217-2014</t>
  </si>
  <si>
    <t>Allen, Kathryn/0000-0002-8403-4552; Michael, Kelvin/0000-0002-5427-7393</t>
  </si>
  <si>
    <t>10.1046/j.1365-2699.2001.00546.x</t>
  </si>
  <si>
    <t>WOS:000169689800003</t>
  </si>
  <si>
    <t>Barnes, DKA; De Grave, S</t>
  </si>
  <si>
    <t>Ecological biogeography of southern polar encrusting faunas</t>
  </si>
  <si>
    <t>Antarctic biogeography; cline; boulder fauna; bryozoans; sponges; cnidarians</t>
  </si>
  <si>
    <t>DIVERSITY; COMMUNITIES; COMPETITION; CLINE</t>
  </si>
  <si>
    <t>Aim To investigate the affinities and similarities between coastal (marine) encrusting faunas along the Andes-Scotia Arc-Antarctic Peninsula mountain chain with a uniform sampling strategy. Location Twelve different samples sites were selected on the (southern) South American and (western) Antarctic continents. The sites spanned 25 degrees of latitude along the Andes-Scotia Arc-Antarctic Peninsula mountain chain from Tierra del Fuego to the Ross Sea (Antarctica). Methods Encrusting faunal colonists were identified on rocky (boulder/cobble) surfaces constituting a total surface area of 2 m(2) from each of twelve localities at depths from the intertidal zone to 12 m. Faunal suites of sites were subjected to differing but common modern analyses, Detrended Correspondance Analysis (DCA) and TWINSPAN. Results Typically the number of encrusting species increased with depth and decreased with isolation (remote islands, such as South Georgia and Bird Island had depauperate faunas). The proportion of the total fauna constituted by bryozoans, sponges and other taxa changed with site latitude and isolation. Ordination (DCA) of the site species data matrix revealed distinct Patagonian, Falkland and Antarctic groupings. Ordination of just the Antarctic grouping revealed a dine from the northerly and shallower sites to those more southerly and deep. TWINSPAN analysis of the same data set largely supported the ordination. Ordination at generic level showed a high degree of similarity with the species ordination pattern. Main conclusions The north/south, deep/shallow, dine found shows distinct faunistic patterning within biogeographic zones. The separation of sites within and outside the Polar Frontal Zone (PFZ) support more classically based historic biogeographic studies. The major difference between the findings of this study was the organization of sites into a dine vs. distinct zones. The simplest explanation for why studies yield such different findings must lie with the considerable differences in the types of data sets used; historical records or (as here) short-term, uniform, sampling strategies.</t>
  </si>
  <si>
    <t>Natl Univ Ireland Univ Coll Cork, Dept Zool &amp; Anim Ecol, Cork, Ireland; Univ Oxford, Museum Hist Nat, Oxford OXP W13, England</t>
  </si>
  <si>
    <t>University College Cork; University of Oxford</t>
  </si>
  <si>
    <t>Natl Univ Ireland Univ Coll Cork, Dept Zool &amp; Anim Ecol, Lee Maltings, Cork, Ireland.</t>
  </si>
  <si>
    <t>dkab@ucc.ie</t>
  </si>
  <si>
    <t>10.1046/j.1365-2699.2001.00562.x</t>
  </si>
  <si>
    <t>WOS:000169689800007</t>
  </si>
  <si>
    <t>Wharton, DA; Worland, MR</t>
  </si>
  <si>
    <t>Water relations during desiccation of cysts of the potato-cyst nematode Globodera rostochiensis</t>
  </si>
  <si>
    <t>desiccation; differential scanning calorimetry; osmotically active water; osmotically inactive water; anhydrobiosis</t>
  </si>
  <si>
    <t>DIFFERENTIAL SCANNING CALORIMETRY; COLD TOLERANCE; ICE FORMATION; JUVENILES; EGGSHELL</t>
  </si>
  <si>
    <t>The loss during desiccation of osmotically active water (OAW), which freezes during cooling to -45 degreesC, and osmotically inactive water (OIW), which remains unfrozen. from the cysts of the potato cyst nematode, Globodera rostochiensis, was determined using differential scanning calorimetry. Exotherms and endotherms associated with non-egg compartments were not detected after 5 min desiccation at 50% relative humidity and 20 degreesC. The pattern of water loss from the cysts indicates that water is lost from compartments outside the eggs first, that nearly all the non-egg water is OAW and that the OIW content of the cyst is contained within the eggs. Water is lost from the eggs only after the OAW content outside the eggs falls below that within the eggs, Both OAW and OIW are lost from the eggs during desiccation but the eggs retain a small amount of OIW. Other animals which survive some desiccation but which are not anhydrobiotic will tolerate the loss of OAW but not the loss of their OIW. Anhydrobiotic animals can survive the loss of both their OAW and a substantial proportion of their OIW.</t>
  </si>
  <si>
    <t>Univ Otago, Dept Zool, Dunedin, New Zealand; British Antarctic Survey, Cambridge CB3 OET, England</t>
  </si>
  <si>
    <t>Wharton, DA (corresponding author), Univ Otago, Dept Zool, POB 56, Dunedin, New Zealand.</t>
  </si>
  <si>
    <t>Wharton, David/0000-0001-6369-4984</t>
  </si>
  <si>
    <t>10.1007/s003600000160</t>
  </si>
  <si>
    <t>409WK</t>
  </si>
  <si>
    <t>WOS:000167408500005</t>
  </si>
  <si>
    <t>Dietrich, R; Dach, R; Engelhardt, G; Ihde, J; Korth, W; Kutterer, HJ; Lindner, K; Mayer, M; Menge, F; Miller, H; Müller, C; Niemeier, W; Perlt, J; Pohl, M; Salbach, H; Schenke, HW; Schöne, T; Seeber, G; Veit, A; Völksen, C</t>
  </si>
  <si>
    <t>ITRF coordinates and plate velocities from repeated GPS campaigns in Antarctica -: an analysis based on different individual solutions</t>
  </si>
  <si>
    <t>GPS; ITRF; Antarctica; plate kinematics</t>
  </si>
  <si>
    <t>The GPS campaigns of the Scientific Committee on Antarctic Research (SCAR) between 1995 and 1998 provide a valuable data set which is used to link Antarctica with the ITRF (International Terrestrial Reference Frame), and to gain the first detailed insights into the tectonic behaviour of the Antarctic plate. The data analysis is based on seven individual solutions with four different software packages (Bernese, GAMIT/GLOBK, GIPSY/OASIS II, GEONAP), and provides the possibility to study the existing software noise. The combined solution yields an accuracy of I cm for the horizontal and 2 cm for the vertical coordinate components within ITRF96. Based on repeated observations during a total time span of three years, it is possible to determine detailed regional deformations in the area of the Antarctic Peninsula and to obtain an estimate for the rotation vector of the whole Antarctic plate. The main findings of a very comprehensive project of, in total, seven working groups are summarized and presented for the first time. The main emphasis is on the geodetic aspects of the project, i.e. the analysis of the same data set with different software packages, and on the final results from repeated observations, namely station coordinates and horizontal velocities in TTRF96.</t>
  </si>
  <si>
    <t>Tech Univ Dresden, Inst Planetare Geodasie, D-01062 Dresden, Germany; Bundesamt Kartog &amp; Geodasie, Leipzig, Germany; Univ Karlsruhe, Geodat Inst, Karlsruhe, Germany; Univ Hannover, Inst Erdmessung, Hannover, Germany; Univ Munich, Inst Allgemeine &amp; Angew Geol, Munich, Germany; Alfred Wegener Inst Polar &amp; Marine Res, Bremerhaven, Germany; Tech Univ Braunschweig, Inst Geodasie &amp; Photogrammetrie, D-3300 Braunschweig, Germany</t>
  </si>
  <si>
    <t>Technische Universitat Dresden; Helmholtz Association; Karlsruhe Institute of Technology; Leibniz University Hannover; University of Munich; Helmholtz Association; Alfred Wegener Institute, Helmholtz Centre for Polar &amp; Marine Research; Braunschweig University of Technology</t>
  </si>
  <si>
    <t>Schöne, Tilo/C-7403-2019</t>
  </si>
  <si>
    <t>Schöne, Tilo/0000-0003-4118-9578</t>
  </si>
  <si>
    <t>11-12</t>
  </si>
  <si>
    <t>10.1007/s001900000147</t>
  </si>
  <si>
    <t>427DE</t>
  </si>
  <si>
    <t>WOS:000168388900002</t>
  </si>
  <si>
    <t>McArthur, JM; Howarth, RJ; Bailey, TR</t>
  </si>
  <si>
    <t>Strontium isotope stratigraphy: LOWESS version 3: Best fit to the marine Sr-isotope curve for 0-509 Ma and accompanying look-up table for deriving numerical age</t>
  </si>
  <si>
    <t>JOURNAL OF GEOLOGY</t>
  </si>
  <si>
    <t>SEAWATER SR-87/SR-86 CURVE; INTERCONTINENTAL CORRELATION; NEOPROTEROZOIC SEAWATER; ANTARCTIC PENINSULA; EVENT CORRELATION; CARBONATE ROCKS; OCEAN CHEMISTRY; FLOOD BASALTS; EVOLUTION; RECORD</t>
  </si>
  <si>
    <t>An improved and updated version of the statistical LOWESS fit to the marine (87)Sr/(86)Sr record and a revised look-up table (V3: 10/99; available from j. mcarthur@ucl.ac.uk) based upon it enables straightforward conversion of (87)Sr/(86)Sr to numerical age, and vice versa, for use in strontium isotope stratigraphy (SIS). The table includes 95% confidence intervals on predictions of numerical age from (87)Sr/(86)Sr. This version includes the Triassic and Paleozoic record (0-509 Ma) omitted from previous versions because of the paucity of adequate data at the time of preparation. We highlight differences between the previous versions of the table and the current version and discuss some aspects of the (87)Sr/(86)Sr record that may have geological significance. We give examples of how the table can be used and where it has proven useful.</t>
  </si>
  <si>
    <t>UCL, London WC1E 6BT, England; Univ London Royal Holloway &amp; Bedford New Coll, Egham TW20 0EX, Surrey, England</t>
  </si>
  <si>
    <t>University of London; University College London; University of London; Royal Holloway University London</t>
  </si>
  <si>
    <t>McArthur, JM (corresponding author), UCL, Gower St, London WC1E 6BT, England.</t>
  </si>
  <si>
    <t>j.mcarthur@ucl.ac.uk</t>
  </si>
  <si>
    <t>McArthur, John/AAL-6354-2020; McArthur, John/C-2705-2008</t>
  </si>
  <si>
    <t>McArthur, John/0000-0003-1461-7805; McArthur, John/0000-0003-1461-7805; Bailey, Trevor/0000-0001-6428-1794</t>
  </si>
  <si>
    <t>UNIV CHICAGO PRESS</t>
  </si>
  <si>
    <t>CHICAGO</t>
  </si>
  <si>
    <t>1427 E 60TH ST, CHICAGO, IL 60637-2954 USA</t>
  </si>
  <si>
    <t>0022-1376</t>
  </si>
  <si>
    <t>J GEOL</t>
  </si>
  <si>
    <t>J. Geol.</t>
  </si>
  <si>
    <t>10.1086/319243</t>
  </si>
  <si>
    <t>406HN</t>
  </si>
  <si>
    <t>WOS:000167209000002</t>
  </si>
  <si>
    <t>Zinsmeister, WJ</t>
  </si>
  <si>
    <t>Late Maastrichtian short-term biotic events on Seymour Island, Antarctic Peninsula</t>
  </si>
  <si>
    <t>CONFIDENCE-INTERVALS; FOSSIL RECORD; END; BOUNDARY; IRIDIUM</t>
  </si>
  <si>
    <t>The use of stratigraphic plane analysis, a new graphical technique to view simultaneously both spatial and stratigraphic distribution of biostratigraphic data, has documented important short-term oceanic events in the high southern latitudes during the Maastrichtian. Single-occurrence or restricted-occurrence horizons on Seymour Island using traditional one-dimensional (temporal) composite range charts have been viewed as artifacts of preservation or collection failures. When the Seymour Island data are evaluated from a spatial perspective using stratigraphic plane analysis, it is clear that these restricted-occurrence horizons are not due to collection failures or incomplete preservation but represent important biotic events, probably associated with widespread thermal events documented in the deep-sea record and to mid-Maastrichtian changes in sea level. These short-term events, in combination with the long-term decline in temperature at the end of the Cretaceous, may have been important contributory factors leading to the extinction event at the end of the Cretaceous.</t>
  </si>
  <si>
    <t>Purdue Univ, Dept Earth &amp; Atmospher Sci, W Lafayette, IN 47907 USA</t>
  </si>
  <si>
    <t>Purdue University System; Purdue University</t>
  </si>
  <si>
    <t>Purdue Univ, Dept Earth &amp; Atmospher Sci, W Lafayette, IN 47907 USA.</t>
  </si>
  <si>
    <t>wjzins@purdue.edu</t>
  </si>
  <si>
    <t>1537-5269</t>
  </si>
  <si>
    <t>10.1086/319239</t>
  </si>
  <si>
    <t>WOS:000167209000005</t>
  </si>
  <si>
    <t>Stanford, SD; Ashley, GM; Brenner, GJ</t>
  </si>
  <si>
    <t>Late Cenozoic fluvial stratigraphy of the New Jersey Piedmont: A record of glacioeustasy, planation, and incision on a low-relief passive margin</t>
  </si>
  <si>
    <t>ATLANTIC COASTAL-PLAIN; SEA-LEVEL FLUCTUATIONS; SEQUENCE STRATIGRAPHY; DEPOSITS; CHRONOLOGY; SEDIMENTS; MIOCENE; VALLEY; PENNSYLVANIA; EVOLUTION</t>
  </si>
  <si>
    <t>Late Cenozoic fluvial deposits and erosional landforms in the New Jersey Piedmont record two episodes of valley incision, one in the Late Miocene and one in the Early Pleistocene, separated by periods of planation and fluvial deposition. The upland erosion surface and a fluvial gravel are the remnants of a low-relief Late Miocene landscape. Late Miocene incision was followed by deposition of a fluvial plain and cutting of straths in the Pliocene. Early Pleistocene incision produced the present valleys, which contain Middle to Late Pleistocene fluvial deposits. The two incisions correspond to permanent glacioeustatic lowering during expansion of the Antarctic ice sheet in the Middle to Late Miocene and development of Northern Hemisphere ice sheets in the Late Pliocene. Bordering Coastal Plain marine deposits indicate that the upland erosion surface was formed during a rising sea-level trend between the Late Oligocene and Middle Miocene. The Pliocene plain and straths formed during a period of rising sea level in the Early Pliocene. The stratigraphic record indicates that the oldest preserved landforms are no older than Late Miocene, that landscape planation in coastal regions of low-relief passive margins can be achieved in &lt;20 m. yr., and that these surfaces can be incised and dissected in &lt;5 m. yr.</t>
  </si>
  <si>
    <t>Rutgers State Univ, Dept Geol Sci, Trenton, NJ 08625 USA; New Jersey Geol Survey, Trenton, NJ 08625 USA</t>
  </si>
  <si>
    <t>Rutgers University System; Rutgers University New Brunswick</t>
  </si>
  <si>
    <t>Stanford, SD (corresponding author), Rutgers State Univ, Dept Geol Sci, POB 427, Trenton, NJ 08625 USA.</t>
  </si>
  <si>
    <t>10.1086/319242</t>
  </si>
  <si>
    <t>WOS:000167209000008</t>
  </si>
  <si>
    <t>Hoppema, M; Klatt, O; Roether, W; Fahrbach, E; Bulsiewicz, K; Rodehacke, C; Rohardt, G</t>
  </si>
  <si>
    <t>Prominent renewal of Weddell Sea Deep Water from a remote source</t>
  </si>
  <si>
    <t>JOURNAL OF MARINE RESEARCH</t>
  </si>
  <si>
    <t>ANTARCTIC BOTTOM WATER; TOTAL CARBON-DIOXIDE; SOUTHERN-OCEAN; CIRCULATION; FLOW; TRANSPORT; SILICATE; TRITIUM; MASSES; OXYGEN</t>
  </si>
  <si>
    <t>Three transient tracer sections of CFC-11 across the Weddell Sea are presented, collected during Polarstem cruises ANT X/4 (July 1992), ANT XIII/4 (May 1996) and ANT XV/4 (April 1998). The corresponding sections of silicate, a quasi-steady-state tracer, are displayed for comparison and as a supplement. Two distinct CFC-11 maximum layers are found in the deep water, one centered near 2200 m and another near 3500 m. These layers, previously observed by other investigators, represent recently ventilated Weddell Sea Deep Water. The deeper, more pronounced core, occurs along the southern continental slope, whereas the shallower core occurs in the northern Weddell Sea. The deeper CFC-11 maximum layer coincides with a pronounced silicate minimum layer. Quantitatively, the deeper core constitutes a ventilation route for the Weddell Sea of utmost importance, the amount of ventilated surface water involved being 2.7 +/- 0.9 Sv. Most of the deep interior Weddell Sea appears to be ventilated by this external source. The ventilation rate of the Weddell Sea due to the inflow from the east is at least as high as that from the local southern and western sources that produce bottom water. Associated with the deep CFC-11 maximum core are discontinuities in the potential temperature-property diagrams of silicate, oxygen, total carbon dioxide, nitrate and salinity. The recently ventilated deep water is characterized by low concentrations of silicate, total carbon dioxide and nitrate, and by high oxygen content and salinity as compared to the deep water at the same potential temperature formed by mixing of Warm Deep Water and Weddell Sea Bottom Water.</t>
  </si>
  <si>
    <t>Univ Bremen, Inst Environm Phys, Dept Oceanog, FB1, D-28334 Bremen, Germany; Alfred Wegener Inst Polar &amp; Marine Res, D-27515 Bremerhaven, Germany</t>
  </si>
  <si>
    <t>University of Bremen; Helmholtz Association; Alfred Wegener Institute, Helmholtz Centre for Polar &amp; Marine Research</t>
  </si>
  <si>
    <t>Univ Bremen, Inst Environm Phys, Dept Oceanog, FB1, POB 330440, D-28334 Bremen, Germany.</t>
  </si>
  <si>
    <t>hoppema@physik.uni-bremen.de</t>
  </si>
  <si>
    <t>; Hoppema, Mario/I-6286-2013</t>
  </si>
  <si>
    <t>Rodehacke, Christian/0000-0003-3110-3857; Hoppema, Mario/0000-0002-2326-619X</t>
  </si>
  <si>
    <t>SEARS FOUNDATION MARINE RESEARCH</t>
  </si>
  <si>
    <t>NEW HAVEN</t>
  </si>
  <si>
    <t>YALE UNIV, KLINE GEOLOGY LAB, 210 WHITNEY AVENUE, NEW HAVEN, CT 06520-8109 USA</t>
  </si>
  <si>
    <t>0022-2402</t>
  </si>
  <si>
    <t>1543-9542</t>
  </si>
  <si>
    <t>J MAR RES</t>
  </si>
  <si>
    <t>J. Mar. Res.</t>
  </si>
  <si>
    <t>10.1357/002224001762882655</t>
  </si>
  <si>
    <t>436ZT</t>
  </si>
  <si>
    <t>WOS:000168966300004</t>
  </si>
  <si>
    <t>Zeh, A; Millar, IL</t>
  </si>
  <si>
    <t>Metamorphic evolution of garnet-epidote-biotite gneiss from the Moine Supergroup, Scotland, and geotectonic implications</t>
  </si>
  <si>
    <t>epidote; garnet; Gibbs method; Moine Supergroup; P-T path</t>
  </si>
  <si>
    <t>P-T PATHS; PELITIC SCHISTS; GIBBS METHOD; ROCKS; UNCERTAINTIES; THERMOMETRY; MINERALS; GRANITE; DATASET; PROGRAM</t>
  </si>
  <si>
    <t>Metapelitic gneisses from the Glenfinnan Group of the Moine Supergroup, Scotland, contain sparse large and numerous small garnets, associated with complex zoned epidote and plagioclase in a biotite matrix. The large garnets show four zones (AI-AIV), whereas the small garnets show three or fewer Zones, indicating successive garnet nucleation with increasing nucleation densities. Garnet zones AI and AIV grew under static conditions, whereas the formation of AII and Am was accompanied by deformation. Garnet zones AI and AII were formed in the assemblage (all + biotite + epidote + plagioclase + quartz + fluid + apatite) garnet + chlorite + muscovite +/- ilmenite +/- sphene +/- magnetite; zone Bm in the assemblage garnet + muscovite + sphene +/- magnetite; and zone AIV in, the assemblage garnet + sphene +/- ilmenite. The chemical zonation and microstructures of garnet A indicate two important discontinuities; one at the transition between garnet zones BI and AII, and a second between zones AII and AIII, which correlate with complex zonation shown bg epidote and plagioclase. These discontinuities may result from polymetamorphic garnet growth during different orogenic cycles affecting the Moine Supergroup. Geothermobarometric calculations and Gibbs method modelling provide evidence that garnet zone AI grew rapidly during heating from about 550 to 560 degrees C at pressures of about about 4-6 kbar. in contrast, the formation of zone AII was accompanied by nearly isothermal compression from 6 to 8.5 kbar (560 575 degrees C), indicating crustal stacking. After a certain period of cooling, garnet zone AIII grew during renewed heating at P-T conditions of about 640 degreesC and pressures between 5 and 9 kbar. Growth of garnet AIV was accompanied by further temperature mse, reaching maximum conditions of about 670 degrees C at 5 kbar.</t>
  </si>
  <si>
    <t>Univ Wurzburg, Inst Mineral, D-97074 Wurzburg, Germany; British Antarctic Survey, NERC, Isotope Geosci Lab, Kingsley Dunham Ctr, Keyworth NG12 5GG, Notts, England</t>
  </si>
  <si>
    <t>University of Wurzburg; UK Research &amp; Innovation (UKRI); Natural Environment Research Council (NERC); NERC British Geological Survey; NERC British Antarctic Survey</t>
  </si>
  <si>
    <t>Zeh, A (corresponding author), Univ Wurzburg, Inst Mineral, Hubland, D-97074 Wurzburg, Germany.</t>
  </si>
  <si>
    <t>Millar, Ian L/F-1541-2010; Zeh, Armin/AAS-7028-2020</t>
  </si>
  <si>
    <t>Zeh, Armin/0000-0001-5599-7897</t>
  </si>
  <si>
    <t>10.1093/petrology/42.3.529</t>
  </si>
  <si>
    <t>422XW</t>
  </si>
  <si>
    <t>WOS:000168145400004</t>
  </si>
  <si>
    <t>Xiong, FS</t>
  </si>
  <si>
    <t>Evidence that UV-B tolerance of the photosynthetic apparatus in microalgae is related to the D1-turnover mediated repair cycle in vivo</t>
  </si>
  <si>
    <t>chlorophyll fluorescence; microalgae; photosynthetic oxygen evolution; repair cycle; the D1 turnover; ultraviolet-B radiation</t>
  </si>
  <si>
    <t>REACTION-CENTER PROTEINS; PHOTOSYSTEM-II; ULTRAVIOLET-RADIATION; MARINE DIATOM; ANTARCTIC PHYTOPLANKTON; ISOLATED THYLAKOIDS; PLANT LIFE; D1 PROTEIN; DAMAGE; DEGRADATION</t>
  </si>
  <si>
    <t>The present study was conceived to elucidate the potential importance of the D1 turnover-mediated repair mechanism in UV-B tolerance of the photosynthetic apparatus in microalgae. To this end, the lab-identified UV-B sensitive and tolerant species of Chlorophyte and Chromophyte algae was used to examine photosynthetic response to UV-B exposure in the presence vs. the absence of streptomycin, an inhibitor of chloroplast protein synthesis. Measurements of photosynthetic O-2 evolution capacity and chlorophyll fluorescence parameters (F-v/F-m, Phi (PSII)) illustrated species-specific UV-B sensitivity of the photosynthetic apparatus. Addition of the inhibitor streptomycin caused significant enhancements of UV-B-caused depression of photosynthesis in UV-B tolerant species, while little effect was observed in the sensitive species. In the tolerant species, recovery from UV-B induced 20% decline in F-v/F-m reached completion within 2 hours, much faster than that in the sensitive species. Immunoblotting revealed that exposure to UV-B radiation caused substantial degradation of the D1 protein in the sensitive Heterococcus brevicellularis, which was little enhanced by addition of the inhibitor. The same UV-B exposure lead to less D1 degradation in the tolerant Scenedesmus sp.. which was significantly enhanced by addition of the inhibitor. This study shows that UV-B tolerance of the photosynthetic apparatus in microalgae was associated with a strong capacity for recovery from the UV-B-induced damage and this capacity related to the DI turnover-mediated repair cycle, and largely determined UV-B tolerance of the photosynthetic apparatus in these organisms.</t>
  </si>
  <si>
    <t>AVCR, Inst Microbiol, Natl Res Ctr Photosynth &amp; Global Climate Change, Trebon 37981, Czech Republic</t>
  </si>
  <si>
    <t>Czech Academy of Sciences; Institute of Microbiology of the Czech Academy of Sciences</t>
  </si>
  <si>
    <t>Xiong, FS (corresponding author), Arizona State Univ, Dept Plant Biol, Tempe, AZ 85287 USA.</t>
  </si>
  <si>
    <t>10.1078/0176-1617-00306</t>
  </si>
  <si>
    <t>416JV</t>
  </si>
  <si>
    <t>WOS:000167777900002</t>
  </si>
  <si>
    <t>Kelly, SRA; Doubleday, PA; Brunton, CHC; Dickins, JM; Sevastopulo, GD; Taylor, PD</t>
  </si>
  <si>
    <t>First Carboniferous and ?Permian marine macrofaunas from Antarctica and their tectonic implications</t>
  </si>
  <si>
    <t>Antarctica; carboniferous; Permian; macrofaunas; tectonics</t>
  </si>
  <si>
    <t>ALEXANDER-ISLAND; FORE-ARC; PENINSULA; SUBDUCTION; GLACIATION; AUSTRALIA; ACCRETION; HISTORY; BASINS; AGE</t>
  </si>
  <si>
    <t>The first Carboniferous and ?Permian marine macrofaunas from the Antarctic continent are described from three sites near Mount King, Alexander Island, Antarctic Peninsula. They include bivalves, brachiopods, bryozoans, crinoids, gastropods, a possible monoplacophoran, nautiloids and a possible serpulid or microconchid. Overall the faunas of two localities are Carboniferous in age and compare well with the Levipustula levis Zone of Argentina and eastern Australia, and are of Namurian (Serpukhovian-Bashkirian) age, based mainly on the brachiopod and bryozoan faunas. Less positive brachiopod evidence from a third locality indicates the presence of a linoproductid fauna of possible Carboniferous or Permian (Gzhelian-Artinskian) age, having affinities with the Argentinian Cancrinella Fauna. The lithological and structural characteristics of the Mount King beds are comparable to the accretionary complex of the LeMay Group (hitherto of only proven Jurassic-Cretaceous age) of Alexander Island, in which they are provisionally placed. However. the beds may also correlate with the Trinity Peninsula Group (Carboniferous-Triassic) of the northern Antarctic Peninsula. The features of the Mount King beds are consistent with the presence of an accretionery complex related to an island are in the Late Palaeozoic, but are not necessarily conclusive proof of the presence of such a terrane at that time in what is now Alexander Island.</t>
  </si>
  <si>
    <t>British Antarctic Survey, NERC, Cambridge CB3 0ET, England; Nat Hist Museum, Dept Palaeontol, London SW7 5BD, England; Innovat Geol, Turner, ACT 2612, Australia; Univ Dublin Trinity Coll, Dept Geol, Dublin 2, Ireland</t>
  </si>
  <si>
    <t>UK Research &amp; Innovation (UKRI); Natural Environment Research Council (NERC); NERC British Antarctic Survey; Natural History Museum London; Trinity College Dublin</t>
  </si>
  <si>
    <t>Kelly, SRA (corresponding author), 10 Belvoir Rd, Cambridge CB4 1JJ, England.</t>
  </si>
  <si>
    <t>Sevastopulo, George/AAI-5974-2020</t>
  </si>
  <si>
    <t>Taylor, Paul/0000-0002-3127-080X</t>
  </si>
  <si>
    <t>10.1144/jgs.158.2.219</t>
  </si>
  <si>
    <t>409HD</t>
  </si>
  <si>
    <t>WOS:000167377600004</t>
  </si>
  <si>
    <t>Rowell, AJ; Van Schmus, WR; Storey, BC; Fetter, AH; Evans, KR</t>
  </si>
  <si>
    <t>Latest Neoproterozoic to Mid-Cambrian age for the main deformation phases of the Transantarctic Mountains: new stratigraphic and isotopic constraints from the Pensacola Mountains, Antarctica</t>
  </si>
  <si>
    <t>Cambrian; Neoproterozoic; Antarctica; orogeny; absolute age</t>
  </si>
  <si>
    <t>NORTHERN VICTORIA LAND; ROBERTSON BAY TERRANE; NEPTUNE RANGE; CLEAVAGE DEVELOPMENT; TECTONIC EVOLUTION; GLACIER AREA; ROSS OROGEN; PB; MARGIN; ZIRCON</t>
  </si>
  <si>
    <t>New isotopic ages and a fresh understanding of stratigraphic relations among siliciclastic strata in the Pensacola Mountains along the northern margin of the East Antarctic craton result in removal of some constraints for the Proterozoic break-up of Rodinia and necessitate revision of the subsequent history of the East Antarctic margin. These rocks, formerly all included in the Patuxent Formation, were thought to be of mid-Neoproterozoic age, to have formed as a consequence of Rodinia rifting, and to have been deformed during a Neoproterozoic orogenic event. Our data show, in contrast, that these siliciclastic strata were deposited in two chronologically distinct basins. The older basin, in which the Hannah Ridge Formation (new name) accumulated, received sediment that contains detrital zircons of latest Neoproterozoic or Early Cambrian age. It was deformed and its contents uplifted and eroded prior to the late Mid-Cambrian in an orogenic event that we interpret as the early stage(s) of the Ross orogeny. The second basin formed later, accumulated turbidite-rich sediments of the redefined Patuxent Formation of Mid- and probably Late Cambrian age, and was subsequently deformed, possibly in Ordovician time. Review of both biostratigraphic and isotopic ages along the length of the Transantarctic Mountains indicates that almost everywhere the main episodes of deformation predate 500 Ma and are thus older than latest Mid-Cambrian, rather than Ordovician, as they are commonly considered to be. Only in the accreted Bowers and Robertson Bay terranes of northern Victoria land, which reveal no clear record of pre-latest Mid-Cambrian or older folding, is the principal episode of Ross orogenic deformation demonstrably younger than Late Cambrian.</t>
  </si>
  <si>
    <t>Univ Kansas, Museum Nat Hist, Div Invertebrate Palontol, Lawrence, KS 66045 USA; Univ Kansas, Dept Geol, Lawrence, KS 66045 USA; British Antarctic Survey, Cambridge CB3 0ET, England</t>
  </si>
  <si>
    <t>University of Kansas; University of Kansas; UK Research &amp; Innovation (UKRI); Natural Environment Research Council (NERC); NERC British Antarctic Survey</t>
  </si>
  <si>
    <t>Univ Kansas, Museum Nat Hist, Div Invertebrate Palontol, Lawrence, KS 66045 USA.</t>
  </si>
  <si>
    <t>arowell@ukans.edu</t>
  </si>
  <si>
    <t>VanSchmus, William/0000-0003-1555-0403</t>
  </si>
  <si>
    <t>10.1144/jgs.158.2.295</t>
  </si>
  <si>
    <t>WOS:000167377600010</t>
  </si>
  <si>
    <t>Harcourt, RG</t>
  </si>
  <si>
    <t>Advances in New Zealand mammalogy 1990-2000: Pinnipeds</t>
  </si>
  <si>
    <t>SOUTHERN ELEPHANT SEALS; LION PHOCARCTOS-HOOKERI; ANTARCTIC MACQUARIE ISLAND; MIROUNGA-LEONINA L; CRAB-EATER SEALS; FUR SEALS; ARCTOCEPHALUS-FORSTERI; WEDDELL SEALS; LEPTONYCHOTES-WEDDELLII; DIVING BEHAVIOR</t>
  </si>
  <si>
    <t>Macquarie Univ, Grad Sch Environm, Marine Mammal Res Grp, Sydney, NSW 2109, Australia</t>
  </si>
  <si>
    <t>Harcourt, RG (corresponding author), Macquarie Univ, Grad Sch Environm, Marine Mammal Res Grp, Sydney, NSW 2109, Australia.</t>
  </si>
  <si>
    <t>Harcourt, Robert/0000-0003-4666-2934</t>
  </si>
  <si>
    <t>10.1080/03014223.2001.9517644</t>
  </si>
  <si>
    <t>481RE</t>
  </si>
  <si>
    <t>WOS:000171532800011</t>
  </si>
  <si>
    <t>Majoran, S; Dingle, RV</t>
  </si>
  <si>
    <t>Palaeoceanographical changes recorded by Cenozoic deep-sea ostracod assemblages from the South Atlantic and the Southern Ocean (ODP Sites 1087 and 1088)</t>
  </si>
  <si>
    <t>LETHAIA</t>
  </si>
  <si>
    <t>WATER-MASSES; QUANTITATIVE-ANALYSIS; ANTARCTIC PENINSULA; MARINE PERSPECTIVE; CLIMATE-CHANGE; LATE EOCENE; PLIOCENE; CIRCULATION; CHRONOLOGY; OLIGOCENE</t>
  </si>
  <si>
    <t>Cenozoic palaeoceanography of the SE Atlantic and Southern Oceans has been investigated using Late Eocene/Early Oligocene to Quaternary ostracod assemblages from 49 samples of ODP Sites 1087 and 1088. Although the overall abundance of ostracods is relatively low (means of 17 and 49 specimens per sample at Sites 1087 and 1088, respectively) and there is an apparently high level of endemism (ranging from 50% to 80% at Sites 1087 and 1088), three major changes in the faunal assemblages are identified at Site 1087 (denoted A, B and C) and two at Site 1088 (denoted B' and C'). The assemblage boundaries, detected on the basis of stepwise changes in the abundance, diversity, dominance. endemism, faunal turnover and relative abundance of common taxa, coincide broadly with previously identified, ostracod-based palaeoceanographical 'events' discussed by Benson and co-workers over the last two decades. The data do not extend sufficiently far back to record the initiation of Assemblage A, but the faunal change between Assemblages A and B, marked by a decline in abundance, species diversity and faunal turnover, occurs within the Middle Miocene (NN5-6). It coincides with a previously documented palaeoceanographical 'event' at 16-14 Ma which, we suggest, may be related to the initiation of North Atlantic Deep Water (NADW) production and/or an expansion of the East Antarctic ice sheet. Assemblage B' is subdivided into the two Sub-assemblages B'(1) and B'(2) mainly on the basis of an increase in diversity, a peak in faunal turnover and a drop in the relative abundance of the genus Krithe in early tate Miocene time (NN9, c. 10.5Ma). The B'(1)/B'(2) Sub-assemblage boundary cannot be related to any previously documented faunal change in deep-sea ostracods. Changes associated with the boundaries between Assemblages B and C, and B' and C', which we believe to be synchronous, both include a decrease in diversity and abundance. In addition, two strong turnover peaks occur near the B'/C' boundary at Site 1088. The BIC and B'/C' boundaries coincide with a previously documented mid-Pliocene 'event' (3.5 Ma) (NN15-16) which may be linked to putative closure of the Straits of Panama and increased production of NADW, the latter in turn leading to increased production of Antarctic Intermediate Water (AAIW) and Antarctic Bottom Water (AABW). Alternatively, fluctuations in size of the Antarctic ice sheet during possible Pliocene warm periods could indirectly be responsible for the observed mid-Pliocene faunal changes.</t>
  </si>
  <si>
    <t>Univ Copenhagen, Inst Geol, DK-1350 Copenhagen K, Denmark</t>
  </si>
  <si>
    <t>Majoran, S (corresponding author), Univ Copenhagen, Inst Geol, Oster Voldgade 10, DK-1350 Copenhagen K, Denmark.</t>
  </si>
  <si>
    <t>0024-1164</t>
  </si>
  <si>
    <t>Lethaia</t>
  </si>
  <si>
    <t>424CC</t>
  </si>
  <si>
    <t>WOS:000168213700007</t>
  </si>
  <si>
    <t>Timmermans, KR; Gerringa, LJA; de Baar, HJW; van der Wagt, B; Veldhuis, MJW; de Jong, JTM; Croot, PL; Boye, M</t>
  </si>
  <si>
    <t>Growth rates of large and small Southern Ocean diatoms in relation to availability of iron in natural seawater</t>
  </si>
  <si>
    <t>ORGANIC-LIGANDS; ATLANTIC SECTOR; NORTH PACIFIC; DEEP-SEA; PHYTOPLANKTON; BLOOMS; LIMITATION; IRON(III); WEDDELL; COMPLEXATION</t>
  </si>
  <si>
    <t>Blooms of large diatoms dominate the CO2 drawdown and silicon cycle of the Southern Ocean in both the past and present. The growth of these Antarctic diatoms is limited by availability of iron (and light). Here we report the first assessment of growth rates in relation to iron availability of two truly oceanic Antarctic diatom species, the large, chain-forming diatom Chaetoceros dichaeta and the small, unicellular diatom C. brevis. In filtered natural, untreated Southern Ocean water, a maximum specific growth rate of 0.62 +/- 0.09 d(-1) and a K-m, for growth of 1.12 x 10(-9) M dissolved iron was calculated for C. dichaeta. This response could only be seen during a long-day light period. C. brevis maintained growth rates of 0.39 +/- 0.09 d(-1) with and without iron addition, even under short-day light conditions, and could only be forced into iron limitation by adding the siderophore desferri-ferrioxamine B (DFB), an iron immobilizing agent. Using this approach, the low K-m value for growth of 0.59 x 10(-12) M dissolved Fe was calculated for this Species. The size-class dependent growth response to iron (and light) confirms the key role of these parameters in structuring Southern Ocean ecosystems and thus the CO2 dynamics and the silicon cycle.</t>
  </si>
  <si>
    <t>Netherlands Inst Sea Res, NL-1790 AB Den Burg, Texel, Netherlands; Univ Liverpool, Oceanog Labs, Liverpool L69 3BX, Merseyside, England</t>
  </si>
  <si>
    <t>Utrecht University; Royal Netherlands Institute for Sea Research (NIOZ); University of Liverpool</t>
  </si>
  <si>
    <t>Netherlands Inst Sea Res, POB 59, NL-1790 AB Den Burg, Texel, Netherlands.</t>
  </si>
  <si>
    <t>klaas@nioz.nl</t>
  </si>
  <si>
    <t>Croot, Peter/U-5296-2019; Croot, Peter/C-8460-2009; de Jong, Jeroen/F-3190-2011</t>
  </si>
  <si>
    <t>Croot, Peter/0000-0003-1396-0601; timmermans, klaas/0000-0002-3214-4354</t>
  </si>
  <si>
    <t>10.4319/lo.2001.46.2.0260</t>
  </si>
  <si>
    <t>417DJ</t>
  </si>
  <si>
    <t>WOS:000167819900006</t>
  </si>
  <si>
    <t>Hooker, SK; Baird, RW</t>
  </si>
  <si>
    <t>Diving and ranging behaviour of odontocetes: a methodological review and critique</t>
  </si>
  <si>
    <t>BELUGAS DELPHINAPTERUS-LEUCAS; SATELLITE-MONITORED MOVEMENTS; BOTTLE-NOSED DOLPHINS; ANTARCTIC FUR SEALS; SUCTION-CUP TAG; MONODON-MONOCEROS; PHOCOENA-PHOCOENA; HARBOR PORPOISES; SWIMMING SPEED; DIVE BEHAVIOR</t>
  </si>
  <si>
    <t>Movements can be analysed in terms of horizontal or vertical dimensions, but cetacean movement is ultimately three-dimensional, and it is the integration of analyses of both horizontal and vertical movements that will provide the most insight about an animal's behaviour. Current field techniques can provide simultaneous information on both diving (vertical movements) acid ranging (horizontal movements). We discuss the considerations, techniques and analyses for diving and ranging studies, together with the advantages and disadvantages of each technique. Ranging studies using VHF or satellite-linked radio-transmitters have evolved alongside studies of diving behaviour using time-depth recorders, and problems associated with deployment and attachment techniques apply to both. The diving (and concurrent ranging behaviour) of 13 species of odontocetes has been studied using time-depth recorders or acoustic transponders with VHF-or satellite-transmitters. However, differences in sampling techniques used, and summary statistics presented, have made comparisons difficult. We review these issues and suggest parameters that should be presented in future studies of diving and ranging. In general, studies should be consistent in their presentation of the basic parameters and statistics, and provide enough information for the reader to assess the limitations of the data.</t>
  </si>
  <si>
    <t>Hooker, SK (corresponding author), Dalhousie Univ, Dept Biol, Halifax, NS B3H 4J1, Canada.</t>
  </si>
  <si>
    <t>Hooker, Sascha K/J-3267-2013; Baird, Robin William/Y-8230-2019</t>
  </si>
  <si>
    <t>Baird, Robin William/0000-0002-9419-6336; Hooker, Sascha/0000-0002-7518-3548</t>
  </si>
  <si>
    <t>10.1046/j.1365-2907.2001.00080.x</t>
  </si>
  <si>
    <t>432KL</t>
  </si>
  <si>
    <t>WOS:000168690700006</t>
  </si>
  <si>
    <t>Peck, LS; Veal, R</t>
  </si>
  <si>
    <t>Feeding, metabolism and growth in the Antarctic limpet, Nacella concinna (Strebel 1908)</t>
  </si>
  <si>
    <t>WALDECKIA-OBESA CHEVREUX; DYNAMIC ACTION SDA; NITROGEN-EXCRETION; PROTEIN-SYNTHESIS; SIGNY ISLAND; SEAWATER; AMMONIA; REPRODUCTION; TEMPERATURE; COMPONENTS</t>
  </si>
  <si>
    <t>Post-prandial increases in metabolism the specific dynamic action of feeding (SDA), were evaluated in the Antarctic limpet Nacella concinna. O-2 consumption rose to a peak value 2.3 times higher than pre-feeding standard metabolic rates. This peak rise is low for marine ectotherms, but is typical of polar species. There were three peaks in the SDA, the first lasted only for the Ist day, was caused by handling, and was minor. The second was the major peak. It lasted from post-prandial days 4-9 inclusive, and accounted for around 70% of the SDA response. The third peak lasted from day 11 to day 15 and accounted for 30% of the total SDA. A 15-day SDA is much longer than values for temperate species, but is again typical for polar marine ectotherms. NH3 excretion declined post-prandially from around 0.4 mu mol animal(-1) h(-1) to values between 0.025 and 0.223 mu mol animal(-1) h(-1) throughout the SDA. The total O-2 consumed in the SDA was 90.2 mu mol O-2, which converts to 44.7 J of energy. This was 45-50% of the energy consumed in the meal (93.5 J). Pre-feeding O:N ratios, after 26 days without food, were around I, indicating protein as the sole metabolic substrate prior to initiating the SDA. After feeding, O:N ratios rose to between 2.5 and 19, indicating significant use of lipid or carbohydrate from the food. Experiments were conducted in ambient seawater with enhanced levels of Sr (SrCl added at 800 mg kg(-1)), and limpets were fed microalgal films also grown in enhanced Sr media. Sr incorporated in the shells during the experiment allowed the measurement of shell increments deposited during the SDA. Between five and eight microgrowth bands were present in the Sr-enhanced increments, which was similar to the number of days in the second SDA peak. The mean shell increment laid down was 17.6 mum. Estimating tissue deposition from measured growth increments and published ash-free dry mass (AFDM) to length relationships produced a value of 0.81 mg AFDM, which converted to 26.4 J of energy, or 25-30% of the energy ingested in the meal. Estimates of growth increments associated with a single SDA have not previously been possible. Overall energy used in the SDA and tissue deposition accounted for 75-80% of the energy ingested; the remainder was probably accounted for by unmeasured costs such as mucus production.</t>
  </si>
  <si>
    <t>British Antarctic Survey, Cambridge CB3 0ET, England; Brunel Univ, Dept Biol &amp; Biochem, Uxbridge UB8 3PH, Middx, England</t>
  </si>
  <si>
    <t>UK Research &amp; Innovation (UKRI); Natural Environment Research Council (NERC); NERC British Antarctic Survey; Brunel University</t>
  </si>
  <si>
    <t>Peck, LS (corresponding author), British Antarctic Survey, Madingley Rd, Cambridge CB3 0ET, England.</t>
  </si>
  <si>
    <t>10.1007/s002270000486</t>
  </si>
  <si>
    <t>417MG</t>
  </si>
  <si>
    <t>WOS:000167838300012</t>
  </si>
  <si>
    <t>Whitehead, JM; Quilty, PG; Harwood, DM; McMinn, A</t>
  </si>
  <si>
    <t>Early Pliocene paleoenvironment of the Sorsdal Formation, Vestfold Hills, based on diatom data</t>
  </si>
  <si>
    <t>Antarctica; ice sheet; Pliocene; diatom; Sorsdal Formation</t>
  </si>
  <si>
    <t>ANTARCTIC ICE-SHEET; SEA-ICE; WEDDELL SEA; SOUTHERN-OCEAN; EAST ANTARCTICA; SURFACE SEDIMENTS; ELLIS FJORD; MARINE-SEDIMENTS; ATLANTIC SECTOR; PACK ICE</t>
  </si>
  <si>
    <t>Comparison of diatom data from modern surface sediments in Prydz Bay and the Kerguelen Plateau with diatom assemblages from the Sorsdal Formation, Vestfold Hills, indicates that the climate was warmer than present during the early Pliocene (4.5-4.1 Ma). Extant, sea-ice associated diatoms are significantly less abundant throughout the Sorsdal Formation than in the modem Antarctic coastal zone. Extant diatoms in the Sorsdal Formation, including Stellarima stellaris, Thalassiosira oliverana, Fragilariopsis sublinearis, Pseudo-nitzschia turgiduloides and Eucampia antarctica var. recta, are consistent with annual sea-surface temperatures (SST) of between -1.8 and 5.0 degreesC. The presence of S. stellaris indicates that the summer SSTs were &gt;3 degreesC during some intervals. The absence of calcareous coccoliths and the silicoflagellate Dictyocha suggests that the upper limit for summer SST was &lt;5C. These data indicate that early Pliocene summer SST were between 1.6 and 3 degreesC warmer than today. Abundant Chaetoceros cysts infer that stratified, open-water conditions were present during summer/spring. Ice sheet models suggest that warming of the magnitude evident in the Sorsdal Formation (less than or equal to3 degreesC) should have resulted initially in increased snow accumulation and ice sheet growth. However, ice sheet growth was probably short-lived, as the long-term response to this warming in the early Pliocene resulted in a significant decrease in ice volume and deposition of the Sorsdal Formation. Other factors, such as increased basal-ice sliding and higher discharge (icebergs and melt-water), probably led to significantly elevated ablation rates from the Pliocene ice sheet, resulting in ice sheet retreat. (C) 2001 Elsevier Science B.V. All rights reserved.</t>
  </si>
  <si>
    <t>Univ Tasmania, Inst Antarctic &amp; So Ocean Studies, Antartic CRC, Hobart, Tas 7001, Australia; Univ Tasmania, Sch Earth Sci, Hobart, Tas 7001, Australia; Univ Nebraska, Dept Geosci, Lincoln, NE 68588 USA</t>
  </si>
  <si>
    <t>University of Tasmania; University of Tasmania; University of Nebraska System; University of Nebraska Lincoln</t>
  </si>
  <si>
    <t>Univ Tasmania, Inst Antarctic &amp; So Ocean Studies, Antartic CRC, GPO Box 252-80, Hobart, Tas 7001, Australia.</t>
  </si>
  <si>
    <t>jm_whitehead@hotmail.com; P.Quilty@utas.edu.au; dharwood@unlserve.unl.edu</t>
  </si>
  <si>
    <t>10.1016/S0377-8398(00)00060-8</t>
  </si>
  <si>
    <t>431DJ</t>
  </si>
  <si>
    <t>WOS:000168616300002</t>
  </si>
  <si>
    <t>Haward, M; Bergin, A</t>
  </si>
  <si>
    <t>The political economy of Japanese distant water tuna fisheries</t>
  </si>
  <si>
    <t>MARINE POLICY</t>
  </si>
  <si>
    <t>Japan; tuna; fisheries</t>
  </si>
  <si>
    <t>This paper first describes the development of Japan's tuna fisheries, outlines the constraints facing these fisheries and identifies strategies to manage these constraints. A case study of the southern bluefin tuna fishery indicates the significance of the challenges facing Japanese tuna fisheries. 'It is too early to pronounce that the sun has set on one of Japan's most successful distant water fisheries - there tire avenues for adjustment. The difficult process of domestic restructuring is occurring at the same time that Japan is having to address significant external constraints on this industry.' (C) 2001 Elsevier Science Ltd. All rights reserved.</t>
  </si>
  <si>
    <t>Univ Tasmania, Inst Antarctic &amp; So Ocean Studies, Antarctic CRC, Hobart, Tas 7001, Australia; Univ Coll, Australian Def Force Acad, Canberra, ACT 2600, Australia</t>
  </si>
  <si>
    <t>University of Tasmania; Australian Defense Force Academy</t>
  </si>
  <si>
    <t>Haward, M (corresponding author), Univ Tasmania, Inst Antarctic &amp; So Ocean Studies, Antarctic CRC, GPO Box 252-77, Hobart, Tas 7001, Australia.</t>
  </si>
  <si>
    <t>; Haward, Marcus/G-3369-2014</t>
  </si>
  <si>
    <t>Bergin, Anthony/0000-0001-7620-1739; Haward, Marcus/0000-0003-4775-0864</t>
  </si>
  <si>
    <t>0308-597X</t>
  </si>
  <si>
    <t>MAR POLICY</t>
  </si>
  <si>
    <t>Mar. Pol.</t>
  </si>
  <si>
    <t>10.1016/S0308-597X(00)00038-5</t>
  </si>
  <si>
    <t>Environmental Studies; International Relations</t>
  </si>
  <si>
    <t>Environmental Sciences &amp; Ecology; International Relations</t>
  </si>
  <si>
    <t>433DD</t>
  </si>
  <si>
    <t>Green Published, Green Accepted</t>
  </si>
  <si>
    <t>WOS:000168739300001</t>
  </si>
  <si>
    <t>Bye, JAT; Wolff, JO</t>
  </si>
  <si>
    <t>Quasi-geostrophic modelling of the coupled ocean atmosphere</t>
  </si>
  <si>
    <t>MATHEMATICAL AND COMPUTER MODELLING</t>
  </si>
  <si>
    <t>International Congress on Modelling and Simulation</t>
  </si>
  <si>
    <t>DEC, 1998</t>
  </si>
  <si>
    <t>HOBART, AUSTRALIA</t>
  </si>
  <si>
    <t>air-sea interaction; scatterometer wind data; momentum balance of the Antarctic; circumpolar current</t>
  </si>
  <si>
    <t>ANTARCTIC CIRCUMPOLAR CURRENT; WIND</t>
  </si>
  <si>
    <t>The momentum balance of the Antarctic circumpolar current is a fundamental problem in oceanography. In a series of solutions of a fine resolution quasi-geostrophic model coupled to the atmosphere by a novel surface stress relation, we show that the response to a fluctuating wind stress in an Antarctic channel is 70% efficient, and generates almost frictionless transport oscillations. The application of the analysis to scatterometer wind data in the Antarctic channel indicates that the effective lag of the transport over the wind fluctuation is about ten days in agreement with observations. (C) 2001 Elsevier Science Ltd. All rights reserved.</t>
  </si>
  <si>
    <t>Flinders Univ S Australia, Sch Earth Sci, Adelaide, SA 5001, Australia; Antarctic CRC, Hobart, Tas, Australia</t>
  </si>
  <si>
    <t>Flinders University South Australia</t>
  </si>
  <si>
    <t>Bye, JAT (corresponding author), Univ Melbourne, Sch Earth Sci, Melbourne, Vic 3010, Australia.</t>
  </si>
  <si>
    <t>Wolff, Joerg-Olaf/F-8248-2010</t>
  </si>
  <si>
    <t>Wolff, Joerg-Olaf/0000-0001-7037-7688</t>
  </si>
  <si>
    <t>0895-7177</t>
  </si>
  <si>
    <t>MATH COMPUT MODEL</t>
  </si>
  <si>
    <t>Math. Comput. Model.</t>
  </si>
  <si>
    <t>MAR-APR</t>
  </si>
  <si>
    <t>6-7</t>
  </si>
  <si>
    <t>10.1016/S0895-7177(00)00265-X</t>
  </si>
  <si>
    <t>Computer Science, Interdisciplinary Applications; Computer Science, Software Engineering; Mathematics, Applied</t>
  </si>
  <si>
    <t>Computer Science; Mathematics</t>
  </si>
  <si>
    <t>406RU</t>
  </si>
  <si>
    <t>WOS:000167229600006</t>
  </si>
  <si>
    <t>Roscoe, HK</t>
  </si>
  <si>
    <t>The risk of large volcanic eruptions and the impact of this risk on future ozone depletion</t>
  </si>
  <si>
    <t>NATURAL HAZARDS</t>
  </si>
  <si>
    <t>large volcanic eruptions; risk assessment; ozone depletion</t>
  </si>
  <si>
    <t>PINATUBO; MIDLATITUDES; MONTSERRAT; RECORD</t>
  </si>
  <si>
    <t>Ozone depletion at mid-latitudes is caused by reactive halogens from man-made halocarbons. The stratospheric sulphate aerosol which follows large volcanic eruptions enhances (multiplies) this ozone depletion (it has no effect on ozone without halocarbons). Mid-latitude depletion almost doubled for the two years after Mt. Pinatubo. Although the Montreal Protocol is expected to reduce atmospheric amounts of halocarbons in the 21st century, stratospheric ozone will be at risk of depletion enhancement by large eruptions for the next 50 years. Mechanisms of volcanoes suggest that large eruptions are random and that their global rate is constant for several centuries. Measurements of large eruptions during the last 1000 years in ice cores have a remarkable fit to a Poisson distribution, reinforcing the conclusion that the global incidence is random and at a constant rate for this period. From this rate, the probability of one or more eruptions with at least the ozone-loss enhancement of Pinatubo is 58 % in 50 years. This probability is large enough to be of serious concern for future mid-latitude ozone loss.</t>
  </si>
  <si>
    <t>0921-030X</t>
  </si>
  <si>
    <t>1573-0840</t>
  </si>
  <si>
    <t>NAT HAZARDS</t>
  </si>
  <si>
    <t>Nat. Hazards</t>
  </si>
  <si>
    <t>10.1023/A:1011178016473</t>
  </si>
  <si>
    <t>Geosciences, Multidisciplinary; Meteorology &amp; Atmospheric Sciences; Water Resources</t>
  </si>
  <si>
    <t>Geology; Meteorology &amp; Atmospheric Sciences; Water Resources</t>
  </si>
  <si>
    <t>417UX</t>
  </si>
  <si>
    <t>WOS:000167853500008</t>
  </si>
  <si>
    <t>Veitch, CR</t>
  </si>
  <si>
    <t>The eradication of feral cats (Felis catus) from Little Barrier Island, New Zealand</t>
  </si>
  <si>
    <t>NEW ZEALAND JOURNAL OF ZOOLOGY</t>
  </si>
  <si>
    <t>eradication; feral cats; Little Barrier Island; trapping 1080 poison; feline enteritis</t>
  </si>
  <si>
    <t>ANTARCTIC MARION-ISLAND; INDIAN-OCEAN</t>
  </si>
  <si>
    <t>Feral cats (Felis catus) probably reached Little Barrier Island in about 1870. They contributed to the total extinction of the Little Barrier snipe (Coenocorypha aucklandica barrierensis), the local extinction of North Island saddleback (Philesturnus carunculatus rufusater) and the severe reduction in numbers of grey-faced petrel (Pterodroma macroptera gouldi), Cook's petrel (P. cookii) and black petrel (Procellaria parkinsoni), plus the decline of lizard and tuatara species. Sporadic cat control was carried out on Little Barrier from 1897 to 1977. A determined eradication attempt commenced in July 1977 was completed on 23 June 1980. Cage traps, leg-hold traps, dogs and 1080 poison were used, but leg-hold traps and 1080 poison were the only effective methods. Altogether, 151 cats were known to have been killed before the eradication was declared complete. Important lessons learnt can be transferred to other feral cat eradication programmes. The responses of the bird populations are described elsewhere (Girardet et, al. 2001).</t>
  </si>
  <si>
    <t>Dept Internal Affairs, Wildlife Serv, Auckland, New Zealand</t>
  </si>
  <si>
    <t>Veitch, CR (corresponding author), 48 Manse Rd, Papakura, New Zealand.</t>
  </si>
  <si>
    <t>0301-4223</t>
  </si>
  <si>
    <t>NEW ZEAL J ZOOL</t>
  </si>
  <si>
    <t>N. Z. J. Zool.</t>
  </si>
  <si>
    <t>10.1080/03014223.2001.9518252</t>
  </si>
  <si>
    <t>429RW</t>
  </si>
  <si>
    <t>WOS:000168531600001</t>
  </si>
  <si>
    <t>Lupi, A; Tomasi, C; Orsini, A; Cacciari, A; Vitale, V; Georgiadis, T; Casacchia, R; Salvatori, R; Salvi, S</t>
  </si>
  <si>
    <t>Spectral curves of surface reflectance in some Antarctic regions</t>
  </si>
  <si>
    <t>NUOVO CIMENTO DELLA SOCIETA ITALIANA DI FISICA C-GEOPHYSICS AND SPACE PHYSICS</t>
  </si>
  <si>
    <t>ALBEDO</t>
  </si>
  <si>
    <t>Four surface reflectance models of solar radiation were determined by examining several sets of field measurements taken for clear-sky conditions at various sites in Antarctica Each model consists of the mean spectral curve of surface reflectance in the 0.252.7 mum wavelength range and of the dependence curve of total albedo on the solar elevation angle hi within the range from 5 degrees to 55 degrees. The TNB (Terra Nova Bay) model refers to a rocky terrain where granites are predominant; the NIS (Yansen Ice Sheet) model to a glacier surface made uneven by sastrugi and streaked by irregular fractures; the HAP (High Altitude Plateau) model to a flat ice surface covered by fresh snow and scored by light sastrugi; and the RIS (Ross Ice Shelf) model to an area covered bq the sea ice pack presenting many discontinuities in the reflectance features, due to melt water lakes, puddles, refrozen ice and snow pots. The reflectance curve obtained for the TNB model presents gradually increasing values as wavelength increases through the visible spectral range and almost constant values at infrared wavelengths, giving a total albedo value equal to 0.264 at h = 30 degrees, which increases by about 80% through the lower range of h and decreases by 12% through the upper range. The reflectance curves of the NIS, HAP and RIS models are all peaked at visible wavelengths and exhibit decreasing values throughout the infrared spectral range, giving values of total albedo equal to 0.464, 0.738 and 0.426 at h = 30 degrees, respectively. These values were estimated to increase by 8-14% as h decreases from 30 degrees to 5 degrees and to decrease bS 2-4% only as h increases from 30 degrees to 55 degrees.</t>
  </si>
  <si>
    <t>CNR, ISAO, I-40129 Bologna, Italy</t>
  </si>
  <si>
    <t>Lupi, A (corresponding author), CNR, ISAO, Via Gobetti 101, I-40129 Bologna, Italy.</t>
  </si>
  <si>
    <t>vitale, vito/AAW-8441-2021; Georgiadis, Teodoro/I-5666-2012; Georgiadis, Teodoro/AAH-4342-2019; Salvi, Stefano/G-3905-2011</t>
  </si>
  <si>
    <t>Georgiadis, Teodoro/0000-0002-3103-038X; Georgiadis, Teodoro/0000-0002-3103-038X; vitale, vito/0000-0003-0978-8976; lupi, angelo/0000-0002-5009-9876; SALVATORI, ROSAMARIA/0000-0002-0430-0751</t>
  </si>
  <si>
    <t>0390-5551</t>
  </si>
  <si>
    <t>NUOVO CIMENTO C</t>
  </si>
  <si>
    <t>Nuovo Cimento Soc. Ital. Fis. C-Geophys. Space Phys.</t>
  </si>
  <si>
    <t>439ZB</t>
  </si>
  <si>
    <t>WOS:000169146500006</t>
  </si>
  <si>
    <t>Bulgakov, NP; Artamonov, YV; Bibik, VA; Grischenko, VF; Lomakin, PD; Popov, YI; Ukrainskii, VV</t>
  </si>
  <si>
    <t>Anomalous phenomena in the Atlantic Ocean in February-May 1998</t>
  </si>
  <si>
    <t>OCEANOLOGY</t>
  </si>
  <si>
    <t>INTERANNUAL VARIABILITY; SEA-ICE; SOUTH</t>
  </si>
  <si>
    <t>Temperature and salinity anomalies in the upper layer of the Atlantic Ocean in subtropical and tropical latitudes in both of the Hemispheres are revealed from the data of oceanographic observations obtained during the Second Ukrainian Antarctic Expedition in February-May 1998. Distinguishable features of actual hydrophysical parameters are considered in the polar and Antarctic climatic zones. Significant deviations of thermohaline characteristics from the mean monthly values, intensification and latitudinal shifts of large-scale fronts and currents, and variation of ice condition are found.</t>
  </si>
  <si>
    <t>Natl Acad Sci, Inst Marine Hydrophys, Sevastopol, Ukraine; Natl Acad Sci, S Res Inst Marine Fisheries &amp; Oceanog, Kerch, Ukraine; Hydrometeorol Res Inst, Kiev, Ukraine; Res Ctr Marine Ecol, Odessa, Ukraine</t>
  </si>
  <si>
    <t>National Academy of Sciences Ukraine; National Academy of Sciences Ukraine; National Academy of Sciences Ukraine; Ukrainian Hydrometeorological Institute of the State Emergency Service of Ukraine &amp; National Academy of Sciences of Ukraine; Ukrainian Scientific Center of Ecology of the Sea (UkrSCES)</t>
  </si>
  <si>
    <t>Bulgakov, NP (corresponding author), Natl Acad Sci, Inst Marine Hydrophys, Sevastopol, Ukraine.</t>
  </si>
  <si>
    <t>Skripaleva, Elena/AAC-6648-2020</t>
  </si>
  <si>
    <t>Artamonov, Yuriy/0000-0003-2669-7304</t>
  </si>
  <si>
    <t>0001-4370</t>
  </si>
  <si>
    <t>OCEANOLOGY+</t>
  </si>
  <si>
    <t>Oceanology</t>
  </si>
  <si>
    <t>426RH</t>
  </si>
  <si>
    <t>WOS:000168361800006</t>
  </si>
  <si>
    <t>Terrestrial invertebrate abundance across a habitat transect in Keble Valley, Ross Island, Antarctica</t>
  </si>
  <si>
    <t>Antarctic; Collembola; Acari; nematode; water; soil</t>
  </si>
  <si>
    <t>PANAGROLAIMUS-DAVIDI; SOILS; PRODUCTIVITY; COMMUNITIES; NEMATODES; BIOMASS; REGION; LAND</t>
  </si>
  <si>
    <t>The abundance and distribution of soil invertebrates was examined along a transect in Keble Valley, Cape Bird, Ross Island, Antarctica during and after snowmelt. During snowmelt, streams were flowing across the transect, and the moisture environment was highly heterogeneous, whereas after the cessation of stream flow the moisture environment became more homogeneous. Of the seven groups of invertebrates examined, only the prostigmatid mite Stereotydeus mollis showed any redistribution between the two sampling points. The streams had higher water availability, higher soil chlorophyll-a content, higher organic content and lower surface salinity than the areas beside the streams. Nematode (Panagrolaimus davidi), soil rotifer and soil protozoan abundance was significantly associated with this area of high productivity, and the cryptostigmatid mites S. mollis and Nanorchestes antarcticus were found near the stream centres. By contrast, the collembolan Gomphiocephalus hodgsoni was found at riparian margins, and it is hypothesised that this could be due to habitat and food preferences.</t>
  </si>
  <si>
    <t>Sinclair, BJ (corresponding author), Univ Otago, Dept Zool, POB 56, Dunedin, New Zealand.</t>
  </si>
  <si>
    <t>Konestabo, Heidi S/F-9424-2011; Sinclair, Brent J/C-6133-2012</t>
  </si>
  <si>
    <t>Sinclair, Brent/0000-0002-8191-9910; Konestabo, Heidi Sjursen/0000-0002-0718-3984</t>
  </si>
  <si>
    <t>10.1078/0031-4056-00075</t>
  </si>
  <si>
    <t>422PH</t>
  </si>
  <si>
    <t>WOS:000168127100005</t>
  </si>
  <si>
    <t>Wessel, P; Kroenke, LW</t>
  </si>
  <si>
    <t>Comments on seismic properties of the Eltanin transform system, south Pacific by Emile A. Okal and Amy R. Langenhorst</t>
  </si>
  <si>
    <t>PHYSICS OF THE EARTH AND PLANETARY INTERIORS</t>
  </si>
  <si>
    <t>seismic properties; Eltanin transform system; South Pacific; absolute plate motion</t>
  </si>
  <si>
    <t>FRACTURE-ZONE; ANTARCTIC RIDGE; PLATE MOTIONS; HOTSPOTS</t>
  </si>
  <si>
    <t>Seismicity in the Eltanin transform system region reflects the current relative motion between the Pacific and Antarctica plates. As such, the seismicity provides little or no constraints on models for late Neogene Pacific absolute plate motion changes that in turn forced a synchronous change in relative plate motions resulting in the current relative plate motion. (C) 2001 Elsevier Science B.V. All rights reserved.</t>
  </si>
  <si>
    <t>Univ Hawaii Manoa, Sch Ocean &amp; Earth Sci &amp; Technol, Honolulu, HI 96822 USA</t>
  </si>
  <si>
    <t>Wessel, P (corresponding author), Univ Hawaii Manoa, Sch Ocean &amp; Earth Sci &amp; Technol, 1680 East West Rd, Honolulu, HI 96822 USA.</t>
  </si>
  <si>
    <t>0031-9201</t>
  </si>
  <si>
    <t>PHYS EARTH PLANET IN</t>
  </si>
  <si>
    <t>Phys. Earth Planet. Inter.</t>
  </si>
  <si>
    <t>10.1016/S0031-9201(00)00218-1</t>
  </si>
  <si>
    <t>411BR</t>
  </si>
  <si>
    <t>WOS:000167478700006</t>
  </si>
  <si>
    <t>Ponzano, E; Dondero, F; Bouquegneau, JM; Sack, R; Hunziker, P; Viarengo, A</t>
  </si>
  <si>
    <t>Purification and biochemical characterization of a cadmium metallothionein from the digestive gland of the Antarctic scallop Adamussium colbecki (Smith, 1902)</t>
  </si>
  <si>
    <t>MOLLUSCAN METALLOTHIONEINS; MYTILUS-EDULIS; MESSENGER-RNA; METAL; ACCUMULATION; PROTEINS; MUSSEL; CD; CU; HOMEOSTASIS</t>
  </si>
  <si>
    <t>A cadmium-binding protein was purified from the digestive gland of the Antarctic scallop, Adamussium colbecki, and biochemically characterized. Purification procedures included gel permeation and anion exchange chromatography, followed by preparative polyacrylamide gel electrophoresis. Our results demonstrate that the A. colbecki cadmium-binding protein has the general properties of metallothioneins: low molecular weight of about 10 kDa, spectroscopic features typical of cadmium thiolate clusters and high metal (cadmium) content. Analysis of amino acid composition reveals the absence of aromatic amino acids, histidine, methionine and arginine. Asparagine and glutamine are also absent. The A. colbecki metallothionein shows high levels of glycine (14%), aspartic acid (14%), glutamic acid (11%) and a low lysine content (4%); the A. colbecki metallothionein shows a lower cysteine content (12%) compared to other metallothioneins (17-30%) purified from both vertebrate and invertebrate organisms. The presence of a metallothionein in the digestive gland of A. colbecki suggests that in cold-ocean-adapted molluscs the heavy metal homeostasis mechanisms may have evolved similarly to those of organisms living in temperate marine environments, although the A. colbecki cadmium-binding protein shows a typical amino acidic composition that might reflect a peculiar physiological role.</t>
  </si>
  <si>
    <t>Univ Piemonte Orientale Amedeo Avogadro, Dept Sci &amp; Adv Technol, I-15100 Alessandria, Italy; Univ Liege, Lab Oceanol, B-4000 Liege, Belgium; Univ Zurich, Inst Biochem, CH-8006 Zurich, Switzerland</t>
  </si>
  <si>
    <t>University of Eastern Piedmont Amedeo Avogadro; University of Liege; University of Zurich</t>
  </si>
  <si>
    <t>Univ Piemonte Orientale Amedeo Avogadro, Dept Sci &amp; Adv Technol, Via Trotti 17, I-15100 Alessandria, Italy.</t>
  </si>
  <si>
    <t>eponzano@libero.it</t>
  </si>
  <si>
    <t>; Dondero, Francesco/J-1528-2012</t>
  </si>
  <si>
    <t>Viarengo, Aldo/0000-0002-1557-6526; Dondero, Francesco/0000-0001-7945-3712</t>
  </si>
  <si>
    <t>10.1007/s003000000186</t>
  </si>
  <si>
    <t>409UV</t>
  </si>
  <si>
    <t>WOS:000167404800001</t>
  </si>
  <si>
    <t>Iriarte, JL; Kusch, A; Osses, J; Ruiz, M</t>
  </si>
  <si>
    <t>Phytoplankton biomass in the sub-Antarctic area of the Straits of Magellan (53°S), Chile during spring-summer 1997/1998</t>
  </si>
  <si>
    <t>FRACTIONATED PHYTOPLANKTON; CHLOROPHYLL-A; CELL-VOLUME; VARIABILITY; CARBON; ABUNDANCE; PATTERNS; NITROGEN; BLOOM; BAY</t>
  </si>
  <si>
    <t>In order to provide a better understanding of the dynamics of phytoplankton in the coastal regions of high latitudes, a study was carried out to estimate the dynamics of carbon biomass of autotrophic and heterotrophic algal groups over the austral spring-summer 1997/1998 period. At a fixed station located in the central basin (Paso Ancho) of the Straits of Magellan (53 degreesS), surface water samples were collected at least once a week from September 1997 (early spring) to March 1998 (late summer). Quantitative analysis of biomass of phytoplankton was estimated from geometric volumes, using non-linear equations, and converted to biomass. The pattern of chlorophyll a showed a strong temporal variability, with maximum values (mean 2.5 mg m(-3)) at the austral spring phytoplankton increase bloom (October/November) and minimum values during early spring (September: &lt;0.5 mg m(-3)) and summer (January/March: 0.5-1.0 mg m(-3)). During the spring bloom, diatoms made up to 90% of the total phytoplankton carbon (0.01-189 g l(-1)), followed by a maximum of thecate dinoflagellates (0.08-34 mug l(-1)), and sporadic high biomass of phytoflagellates during summer. Heterotrophic algal groups such as Gymnodinium and Gyrodinium spp. dominated (70%, in the 5- to 25-mum size range) shortly before the main diatom bloom, and small peaks were observed within spring and early summer periods (0-0.4 mug l(-1)). Phytoflagellates dominated earlier (spring) with higher carbon biomass (8 mug l(-1)) and post-bloom periods (summer) when carbon biomass ranged between 1 and 4 mug(-1).</t>
  </si>
  <si>
    <t>Univ Austral Chile, Fac Pesquerias &amp; Oceanog, Puerto Montt, Chile; Univ Concepcion, Dept Oceanog, Program Oceanog, Concepcion, Chile; Univ Magallanes, Fac Ciencias, Punta Arenas, Chile; Inst Fomento Pesquero, Valparaiso, Chile</t>
  </si>
  <si>
    <t>Universidad Austral de Chile; Universidad de Concepcion; Universidad de Magallanes; Instituto de Fomento Pesquero (Valparaiso)</t>
  </si>
  <si>
    <t>Iriarte, JL (corresponding author), Univ Austral Chile, Fac Pesquerias &amp; Oceanog, Campus Puerto Montt,POB 1327, Puerto Montt, Chile.</t>
  </si>
  <si>
    <t>jiriarte@uach.cl</t>
  </si>
  <si>
    <t>Iriarte, Jose/A-3568-2008; Kusch, Alejandro/JXW-5866-2024</t>
  </si>
  <si>
    <t>10.1007/s003000000189</t>
  </si>
  <si>
    <t>WOS:000167404800002</t>
  </si>
  <si>
    <t>Micol, T; Jouventin, P</t>
  </si>
  <si>
    <t>Long-term population trends in seven Antarctic seabirds at Pointe Geologie (Terre Adelie) - Human impact compared with environmental change</t>
  </si>
  <si>
    <t>SKUA CATHARACTA-MACCORMICKI; SEALS ARCTOCEPHALUS-GAZELLA; SOUTH POLAR; PENGUIN POPULATIONS; BREEDING SEABIRDS; VARIABILITY; ECOLOGY; PETREL; ICE; COMPETITION</t>
  </si>
  <si>
    <t>Antarctic seabird populations have been much studied over the last decades as bioindicators of the nature of variability in the Southern Ocean marine ecosystem, and most attention has been focused on the role of food supply and the extent of sea ice. In addition, the rapid spread of tourism and the activities of researchers since the early 1960s have raised questions related to their real and potential impact on bird populations. Our data sets start in 1952 for several species of Antarctic seabirds and this study documents the trends over a 14-year period (1985-1999) in seven species breeding on Pointe Geologie archipelago (Terre Adelie, Antarctica). This is the first study where the direct impact of destruction of breeding sites (for building of an airstrip) is examined and where such long-term populations trends have been assessed in such a number of Antarctic species at one site. Trends from 1985 show that for the whole archipelago and when excluding islands destroyed, Adelie penguins and south polar skuas were the only species to show a significant increase (&gt;3.5% annual change). The others species showed opposite trends, three increasing slightly (southern fulmars +0.4%, cape petrels +2.3%, snow petrels +0.9%) and two decreasing (emperor penguin -0.9%, southern giant petrel -3.9%). Three species particularly affected by the destruction of their breeding habitat (Adelie penguin, cape petrel, snow petrel) showed the capability to restore their populations. The availability of food and nesting sites is discussed in relation to environmental change. Species feeding on krill (Adelie penguins and cape petrels) increased more than other species; however, decrease of ice cover can increase availability of nesting sites. The importance of long-term studies is shown when assessing the role of human activities in Antarctica compared to larger-scale changes.</t>
  </si>
  <si>
    <t>CNRS, Cr Etud Biol Chize, F-79360 Villiers En Bois, France; CNRS, Ctr Ecol Fonct &amp; Evolut, F-34293 Montpellier, France</t>
  </si>
  <si>
    <t>Centre National de la Recherche Scientifique (CNRS); Universite PSL; Ecole Pratique des Hautes Etudes (EPHE); Institut Agro; Montpellier SupAgro; CIRAD; Centre National de la Recherche Scientifique (CNRS); Institut de Recherche pour le Developpement (IRD); Universite Paul-Valery; Universite de Montpellier</t>
  </si>
  <si>
    <t>CNRS, Cr Etud Biol Chize, F-79360 Villiers En Bois, France.</t>
  </si>
  <si>
    <t>micol@cebc.cnrs.fr; jouventin@cefe.cnrs-mop.fr</t>
  </si>
  <si>
    <t>Fritz, Herve/D-1729-2014</t>
  </si>
  <si>
    <t>Fritz, Herve/0000-0002-7106-3661</t>
  </si>
  <si>
    <t>10.1007/s003000000193</t>
  </si>
  <si>
    <t>WOS:000167404800005</t>
  </si>
  <si>
    <t>Barnes, DKA; Lehane, C</t>
  </si>
  <si>
    <t>Competition, mortality and diversity in South Atlantic coastal boulder communities</t>
  </si>
  <si>
    <t>ENCRUSTING BRYOZOAN ASSEMBLAGES; OVERGROWTH COMPETITION; CHEILOSTOME BRYOZOANS; SUBTIDAL ZONE; SIGNY ISLAND; SEA; COLONIZATION; DISTURBANCE; ANTARCTICA; GROWTH</t>
  </si>
  <si>
    <t>Boulder shores are common at all latitudes and dominate the intertidal and subtidal zones of sub-Antarctic coastlines. The encrusting benthos of boulders was examined on similar shore types at four locations: Tierra del Fuego, East Falklaud, West Falkland and Bird Island (off South Georgia). Bird Island is unusual in experiencing high trampling and organic enrichment from fur seals. The results were compared to a Patagonian site and a non-trampled South Georgia site (Husvik) and other sites taken from the literature. Principal Component Analysis revealed South Atlantic/Southern Ocean eucrusting faunas formed a distinct cluster when compared to assemblages from elsewhere at similar latitudes. Bray Curtis cluster analysis of the South Atlantic-Southern Ocean sites showed the major division was between Southern Ocean and South Atlantic Ocean sites, beyond which there were three distinct clusters centred around Patagonia (Magellanic), the Falklands and Southern Ocean sites. The organisation of competitive interactions between species was mostly determinate and transitive (essentially hierarchical). The transitivity index scores were higher than most similar assemblages studied to date. The diversity of encrusting assemblages ranged from Shannon Weaver H values of 2.38-0.77 (East Falkland and Bird Island, respectively) in the intertidal to 1.27-0.73 (Patagonia and South Georgia, respectively) in the subtidal zone. Annual mortality (of bryozoan colonies) varied from 85-97% in the intertidal to 65-92% in the subtidal, being higher in the Southern Ocean than South Atlantic sites, largely due to ice scour and wave action. The Bird Island mortality values may be high even for a Southern Ocean site.</t>
  </si>
  <si>
    <t>Unic Coll Cork, Dept Zool &amp; Anim Zool, Cork, Ireland</t>
  </si>
  <si>
    <t>Barnes, DKA (corresponding author), Unic Coll Cork, Dept Zool &amp; Anim Zool, Lee Maltings, Cork, Ireland.</t>
  </si>
  <si>
    <t>10.1007/s003000000196</t>
  </si>
  <si>
    <t>WOS:000167404800007</t>
  </si>
  <si>
    <t>Pendall, E; Markgraf, V; White, JWC; Dreier, M; Kenny, R</t>
  </si>
  <si>
    <t>Multiproxy record of late Pleistocene-Holocene climate and vegetation changes from a peat bog in Patagonia</t>
  </si>
  <si>
    <t>paleoecology; paleoclimate; pollen; D/H ratios; stable isotopes; Patagonia; South America; Tierra del Fuego</t>
  </si>
  <si>
    <t>SOUTHERN SOUTH-AMERICA; TIERRA-DEL-FUEGO; ATMOSPHERIC CO2; YOUNGER DRYAS; DEGLACIAL PALEOCLIMATE; AGE CALIBRATION; NORTH-ATLANTIC; TREE-RINGS; ICE CORE; PRECIPITATION</t>
  </si>
  <si>
    <t>Pollen assemblage changes and stable hydrogen isotope analysis of mosses (Sphagnum magellanicum and Drepanocladus s.l.) from a bog in Tierra del Fuego, Argentina, provided independent proxies for reconstructing changes in effective moisture and temperature over the past 16,000 cal yr B.P. A deterministic model was used to reconstruct the stable hydrogen isotope composition of meteoric water from the D/H ratios of bog mosses over the last 16,000 years. Abrupt changes in temperature, as recorded in D/H ratios of moss cellulose, were accompanied by synchronous changes in vegetation composition during the late Pleistocene and early and middle Holocene, when moisture levels were lower than today. In contrast, temperature variability during the late Holocene was not accompanied by comparable vegetation changes. In particular, grass pollen (Poaceae) increased during periodic cold spells between 15,000 and 11,000 cal yr B.P., but a cold spell of similar magnitude ca. 2000 cal yr B.P did not appear to affect vegetation. During the late Pleistocene, the isotopic record from the peat core shows variations similar to the D/H ratios in the Antarctic Taylor Dome ice core. However, the timing of the changes in the Harberton record is more in line with the timing of other Southern Hemisphere records. (C) 2001 University of Washington.</t>
  </si>
  <si>
    <t>Univ Colorado, Inst Arctic &amp; Alpine Res, Boulder, CO 80309 USA; Highlands Univ, Dept Geol, Las Vegas, NV USA</t>
  </si>
  <si>
    <t>Pendall, E (corresponding author), Univ Colorado, Inst Arctic &amp; Alpine Res, Campus Box 450, Boulder, CO 80309 USA.</t>
  </si>
  <si>
    <t>Pendall, Elise/AAF-5667-2020; White, James W.C./A-7845-2009</t>
  </si>
  <si>
    <t>Pendall, Elise/0000-0002-1651-8969</t>
  </si>
  <si>
    <t>10.1006/qres.2000.2206</t>
  </si>
  <si>
    <t>416XC</t>
  </si>
  <si>
    <t>WOS:000167804800007</t>
  </si>
  <si>
    <t>Alvarez-Salgado, XA; Pérez, FF; Ríos, AF; Doval, MD</t>
  </si>
  <si>
    <t>Basin-scale changes of total organic carbon profiles in the eastern South Atlantic</t>
  </si>
  <si>
    <t>Dissolved Organic Carbon (DOC); Apparent Oxygen Utilisation (AOU). stratification; mixing; water masses; SE Atlantic Ocean</t>
  </si>
  <si>
    <t>SURFACE WATERS; PACIFIC-OCEAN; SARGASSO SEA; MATTER; NITROGEN; BACTERIOPLANKTON; ACCUMULATION; CIRCULATION; SEAWATER; RATIOS</t>
  </si>
  <si>
    <t>Total organic carbon (TOC) samples were collected at 6 stations spaced similar to 800 km apart in the eastern South Atlantic, from the Equator to 45 degreesS along 9 degreesW. Analyses were performed by high temperature catalytic oxidation (HTCO) in the base laboratory. Despite the complex advection and mixing patterns of North Atlantic and Antarctic waters with extremely different degrees of ventilation, TOC levels below 500 m are quasi-constant at 55 +/-3 mu mol C 1(-1), pointing to the refractory nature of deep-water TOC. On the other hand, a TOC excess from 25 to 38 g C m(-2) ii observed In the upper 100 m of the permanently stratified nutrient-depleted Equatorial. Subequatorial and Subtropical upper ocean. where vertical turbulent diffusion is largely prevented. Conversely, TOC levels in the nutrient-rich upper layer of the Subantarctic Front only exceeds 9 g C m(-2) the deep-water baseline. As much as 70% of the TOC variability in the upper 500 m is due to simple mixing of reactive TOC formed in the surface layer and refractory TOC in deep ocean waters. with a minor contribution (13%) to oxygen consumption in the prominent subsurface AOU maximum at 200-400 m depth.</t>
  </si>
  <si>
    <t>CSIC, Inst Invest Marinas, E-36208 Vigo, Spain</t>
  </si>
  <si>
    <t>Consejo Superior de Investigaciones Cientificas (CSIC); CSIC - Instituto de Investigaciones Marinas (IIM)</t>
  </si>
  <si>
    <t>CSIC, Inst Invest Marinas, Eduardo Cabello 6, E-36208 Vigo, Spain.</t>
  </si>
  <si>
    <t>xsalgado@iim.csic.es</t>
  </si>
  <si>
    <t>Fernandez Perez, Fiz/B-9001-2011; Alvarez-Salgado, Xose Anton/A-8365-2012</t>
  </si>
  <si>
    <t>Fernandez Perez, Fiz/0000-0003-4836-8974; Doval, Marylo/0000-0002-8565-8703; Alvarez-Salgado, X. Anton/0000-0002-2387-9201</t>
  </si>
  <si>
    <t>415QB</t>
  </si>
  <si>
    <t>WOS:000167733200001</t>
  </si>
  <si>
    <t>Lammers, RB; Shiklomanov, AI; Vörösmarty, CJ; Fekete, BM; Peterson, BJ</t>
  </si>
  <si>
    <t>Assessment of contemporary Arctic river runoff based on observational discharge records</t>
  </si>
  <si>
    <t>GENERAL-CIRCULATION MODEL; UNITED-STATES; CLIMATE SYSTEM; HIGH-LATITUDES; PRECIPITATION; BALANCE; VARIABILITY; STREAMFLOW; HYDROLOGY; TRENDS</t>
  </si>
  <si>
    <t>We describe the contemporary hydrography of the pan-Arctic land area draining into the Arctic Ocean, northern Bering Sea, and Hudson Bay on the basis of observational records of river discharge and computed runoff. The Regional Arctic Hydrographic Network data set, R-ArcticNET, is presented, which is based on 3754 recording stations drawn from Russian, Canadian, European, and U.S. archives. R-ArcticNET represents the single largest data compendium of observed discharge in the Arctic. Approximately 73% of the nonglaciated area of the pan-Arctic is monitored by at least one river discharge gage giving a mean gage density of 168 gages per 10(6) km(2). Average annual runoff is 212 mm yr(-1) with approximately 60% of the river discharge occurring from April to July. Gridded runoff surfaces are generated for the gaged portion of the pan-Arctic region to investigate global change signals. Siberia and Alaska showed increases in winter runoff during the 1980s relative to the 1960s and 1970s during annual and seasonal periods. These changes are consistent with observations of change in the climatology of the region. Western Canada experienced decreased spring and summer runoff.</t>
  </si>
  <si>
    <t>Univ New Hampshire, Complex Syst Res Ctr, Inst Study Earth Oceans &amp; Space, Durham, NH 03824 USA; Univ New Hampshire, Dept Earth Sci, Durham, NH 03824 USA; Marine Biol Lab, Ctr Ecosyst, Woods Hole, MA 02543 USA; Arctic &amp; Antarctic Res Ctr, St Petersburg, Russia</t>
  </si>
  <si>
    <t>University System Of New Hampshire; University of New Hampshire; University System Of New Hampshire; University of New Hampshire; Marine Biological Laboratory - Woods Hole</t>
  </si>
  <si>
    <t>Lammers, RB (corresponding author), Univ New Hampshire, Complex Syst Res Ctr, Inst Study Earth Oceans &amp; Space, Morse Hall, Durham, NH 03824 USA.</t>
  </si>
  <si>
    <t>Shiklomanov, Alexander I/C-5521-2014</t>
  </si>
  <si>
    <t>Shiklomanov, Alexander/0000-0001-9790-3510</t>
  </si>
  <si>
    <t>FEB 27</t>
  </si>
  <si>
    <t>D4</t>
  </si>
  <si>
    <t>10.1029/2000JD900444</t>
  </si>
  <si>
    <t>405JE</t>
  </si>
  <si>
    <t>WOS:000167155600001</t>
  </si>
  <si>
    <t>Mitrovica, JX; Tamisiea, ME; Davis, JL; Milne, GA</t>
  </si>
  <si>
    <t>Recent mass balance of polar ice sheets inferred from patterns of global sea-level change</t>
  </si>
  <si>
    <t>GLACIAL ISOSTATIC-ADJUSTMENT; TRENDS; FIELD; RISE</t>
  </si>
  <si>
    <t>Global sea level is an indicator of climate change(1-3), as it is sensitive to both thermal expansion of the oceans and a reduction of land-based glaciers. Global sea-level rise has been estimated by correcting observations from tide gauges for glacial isostatic adjustment-the continuing sea-level response due to melting of Late Pleistocene ice-and by computing the global mean of these residual trends(4-9). In such analyses, spatial patterns of sealevel rise are assumed to be signals that will average out over geographically distributed tide-gauge data. But a long history of modelling studies(10-12) has demonstrated that non-uniform- that is, non-eustatic-sea-level redistributions can be produced by variations in the volume of the polar ice sheets. Here we present numerical predictions of gravitationally consistent patterns of sea-level change following variations in either the Antarctic or Greenland ice sheets or the melting of a suite of small mountain glaciers. These predictions are characterized by geometrically distinct patterns that reconcile spatial variations in previously published sea-level records. Under the-albeit coarse-assumption of a globally uniform thermal expansion of the oceans, our approach suggests melting of the Greenland ice complex over the last century equivalent to similar to0.6 mm yr(-1) of sea-level rise.</t>
  </si>
  <si>
    <t>Univ Toronto, Dept Phys, Toronto, ON M5S 1A7, Canada; Harvard Smithsonian Ctr Astrophys, Cambridge, MA 02138 USA; Univ Durham, Dept Geol Sci, Sci Labs, Durham DH1 3LE, England</t>
  </si>
  <si>
    <t>University of Toronto; Harvard University; Smithsonian Institution; Smithsonian Astrophysical Observatory; Durham University</t>
  </si>
  <si>
    <t>Mitrovica, JX (corresponding author), Univ Toronto, Dept Phys, 60 St George St, Toronto, ON M5S 1A7, Canada.</t>
  </si>
  <si>
    <t>Davis, James/D-8766-2013</t>
  </si>
  <si>
    <t>Davis, James/0000-0003-3057-477X</t>
  </si>
  <si>
    <t>FEB 22</t>
  </si>
  <si>
    <t>10.1038/35059054</t>
  </si>
  <si>
    <t>405FT</t>
  </si>
  <si>
    <t>WOS:000167148800041</t>
  </si>
  <si>
    <t>Reid, K; Croxall, JP</t>
  </si>
  <si>
    <t>Environmental response of upper trophic-level predators reveals a system change in an Antarctic marine ecosystem</t>
  </si>
  <si>
    <t>antarctic krill; Euphausia superba; South Georgia; predators; system change</t>
  </si>
  <si>
    <t>SEALS ARCTOCEPHALUS-GAZELLA; SOUTH-GEORGIA; INTERANNUAL VARIABILITY; PENGUIN POPULATIONS; EUPHAUSIA-SUPERBA; KRILL; ICE; DIET; ABUNDANCE; DYNAMICS</t>
  </si>
  <si>
    <t>Long-term changes in the physical environment in the Antarctic Peninsula region have significant potential for affecting populations of Antarctic krill (Euphausia superba), a keystone food web species. In order to investigate this, we analysed data on krill-eating predators at South Georgia from 1980 to 2000. Indices of population size and reproductive performance showed declines in all species and an increase in the frequency of years of low reproductive output. Changes in the population structure of krill and its relationship with reproductive performance suggested that the biomass of krill within the largest size class was sufficient to support predator demand in the 1980s but not in the 1990s. We suggest that the effects of underlying changes in the system on the krill population structure have been amplified by predator-induced mortality, resulting in breeding predators now regularly operating close to the limit of krill availability. Understanding how krill demography is affected by changes in physical environmental factors and by predator consumption and how, in turn, this influences predator performance and survival, is one of the keys to predicting future change in Antarctic marine ecosystems.</t>
  </si>
  <si>
    <t>Reid, K (corresponding author), British Antarctic Survey, NERC, High Cross,Madingley Rd, Cambridge CB3 0ET, England.</t>
  </si>
  <si>
    <t>k.reid@bus.ac.uk</t>
  </si>
  <si>
    <t>10.1098/rspb.2000.1371</t>
  </si>
  <si>
    <t>406KC</t>
  </si>
  <si>
    <t>WOS:000167214000007</t>
  </si>
  <si>
    <t>Wu, J; Dessler, AE</t>
  </si>
  <si>
    <t>Comparisons between measurements and models of Antarctic ozone loss</t>
  </si>
  <si>
    <t>IN-SITU MEASUREMENTS; ARCTIC POLAR VORTEX; CHEMICAL LOSS; WINTER; DEPLETION; STRATOSPHERE; CLO; BRO; CHEMISTRY; RATES</t>
  </si>
  <si>
    <t>We present estimates of the chemical loss of lower stratospheric polar ozone during the Antarctic late winter directly from UARS Microwave Limb Sounder (MILS) ozone measurements in 1992, 1993, and 1994. These agree to within a few percent with estimates of the chemical loss inferred from UARS MLS ClO measurements. Thus, our results support the current theories of polar O-3-depleting chemistry, and we find no evidence far significant unknown chemistry during this period.</t>
  </si>
  <si>
    <t>Univ Maryland, Earth Syst Sci Interdisciplinary Ctr, College Pk, MD 20742 USA; Univ Maryland, Dept Meteorol, College Pk, MD 20742 USA; NASA, Goddard Space Flight Ctr, Greenbelt, MD 20771 USA</t>
  </si>
  <si>
    <t>University System of Maryland; University of Maryland College Park; University System of Maryland; University of Maryland College Park; National Aeronautics &amp; Space Administration (NASA); NASA Goddard Space Flight Center</t>
  </si>
  <si>
    <t>Wu, J (corresponding author), Univ Maryland, Earth Syst Sci Interdisciplinary Ctr, 2207 Comp &amp; Space Sci Bldg, College Pk, MD 20742 USA.</t>
  </si>
  <si>
    <t>Dessler, Andrew E/G-8852-2012</t>
  </si>
  <si>
    <t>Dessler, Andrew E/0000-0003-3939-4820</t>
  </si>
  <si>
    <t>FEB 16</t>
  </si>
  <si>
    <t>D3</t>
  </si>
  <si>
    <t>10.1029/2000JD900606</t>
  </si>
  <si>
    <t>401TW</t>
  </si>
  <si>
    <t>WOS:000166945200025</t>
  </si>
  <si>
    <t>Lee, AM; Roscoe, HK; Jones, AE; Haynes, PH; Shuckburgh, EF; Morrey, MW; Pumphrey, HC</t>
  </si>
  <si>
    <t>The impact of the mixing properties within the Antarctic stratospheric vortex on ozone loss in spring</t>
  </si>
  <si>
    <t>POLAR VORTEX; MODEL; EDGE; PERMEABILITY; COORDINATE; DEPLETION; CLOUDS; SYSTEM; WAVES; AREA</t>
  </si>
  <si>
    <t>Calculations of equivalent length from an artificial advected tracer provide new insight into the isentropic transport processes occurring within the Antarctic stratospheric vortex. These calculations show two distinct regions of approximately equal area: a strongly mixed vortex core and a broad ring of weakly mixed air extending out to the vortex boundary. This broad ring of vortex air remains isolated from the core between late winter and midspring. Satellite measurements of stratospheric H2O confirm that the isolation lasts until at least mid-October. A three-dimensional chemical transport model simulation of the Antarctic ozone hole quantifies the ozone loss within this ring and demonstrates its isolation. In contrast to the vortex core, ozone loss in the weakly mixed broad ring is not complete. The reasons are twofold. First, warmer temperatures in the broad ring prevent continuous polar stratospheric cloud (PSC) formation and the associated chemical processing (i.e., the conversion of unreactive chlorine into reactive forms). Second, the isolation prevents ozone-rich air from the broad ring mixing with chemically processed air from the vortex core. If the stratosphere continues to cool, this will lead to increased PSC formation and more complete chemical processing in the broad ring. Despite the expected decline in halocarbons, sensitivity studies suggest that this mechanism will lead to enhanced ozone loss in the weakly mixed region, delaying the future recovery of the ozone hole.</t>
  </si>
  <si>
    <t>Univ Cambridge, Dept Chem, Ctr Atmospher Sci, Cambridge CB2 1EW, England; Univ Cambridge, Dept Appl Math &amp; Theoret Phys, Ctr Atmospher Sci, Cambridge CB3 9EW, England; British Antarctic Survey, NERC, Cambridge CB3 0ET, England; Univ Edinburgh, Dept Meteorol, Edinburgh EH9 3JZ, Midlothian, Scotland</t>
  </si>
  <si>
    <t>University of Cambridge; University of Cambridge; UK Research &amp; Innovation (UKRI); Natural Environment Research Council (NERC); NERC British Antarctic Survey; University of Edinburgh</t>
  </si>
  <si>
    <t>Lee, AM (corresponding author), Univ Cambridge, Dept Chem, Ctr Atmospher Sci, Lensfield Rd, Cambridge CB2 1EW, England.</t>
  </si>
  <si>
    <t>Pumphrey, Hugh/S-2969-2019</t>
  </si>
  <si>
    <t>Pumphrey, Hugh/0000-0003-0747-1457; Shuckburgh, Emily/0000-0001-9206-3444; Haynes, Peter/0000-0002-7726-6988; Morrey, Martin/0000-0002-5605-533X</t>
  </si>
  <si>
    <t>10.1029/2000JD900398</t>
  </si>
  <si>
    <t>WOS:000166945200026</t>
  </si>
  <si>
    <t>Courseaux, A; Nahon, JL</t>
  </si>
  <si>
    <t>Birth of two chimeric genes in the Hominidae lineage</t>
  </si>
  <si>
    <t>MELANIN-CONCENTRATING HORMONE; ANTARCTIC NOTOTHENIOID FISH; DROSOPHILA; EVOLUTION; ORIGIN; JINGWEI; FUSION; RNAS</t>
  </si>
  <si>
    <t>How genes with newly characterized functions originate remains a fundamental question. PMCHL1 and PMCHL2, two chimeric genes derived from the melanin-concentrating hormone (MCH) gene, offer an opportunity to examine such an issue in the human Lineage. Detailed structural, expression, and phylogenetic analysis showed that the PMCHL1 gene was created near 25 million years ago (Ma) by a complex mechanism of exon shuffling through retrotransposition of an antisense MCH messenger RNA coupled to de novo creation of splice sites. PMCHL2 arose 5 to 10 Ma by an event of duplication involving a large chromosomal region encompassing the PMCHL1 Locus. The RNA expression patterns of those chimeric genes suggest that they have been submitted to strong regulatory constraints during primate evolution.</t>
  </si>
  <si>
    <t>Inst Pharmacol Mol &amp; Cellulaire, CNRS, UMR 6097, F-06560 Valbonne, France</t>
  </si>
  <si>
    <t>Centre National de la Recherche Scientifique (CNRS); Universite Cote d'Azur</t>
  </si>
  <si>
    <t>Nahon, JL (corresponding author), Inst Pharmacol Mol &amp; Cellulaire, CNRS, UMR 6097, 660 Route Lucioles Sophia Antipolis, F-06560 Valbonne, France.</t>
  </si>
  <si>
    <t>NAHON, Jean-Louis/O-7977-2016; NAHON, Jean-Louis/AFC-9614-2022</t>
  </si>
  <si>
    <t>10.1126/science.1057284</t>
  </si>
  <si>
    <t>402MX</t>
  </si>
  <si>
    <t>WOS:000166993400039</t>
  </si>
  <si>
    <t>Ogura, T; Abe-Ouchi, A</t>
  </si>
  <si>
    <t>Influence of the Antarctic ice sheet on southern high latitude climate during the Cenozoic: Albedo vs topography effect</t>
  </si>
  <si>
    <t>LAST GLACIAL MAXIMUM; GENERAL-CIRCULATION; SENSITIVITY; HEMISPHERE; MODEL</t>
  </si>
  <si>
    <t>Sensitivity of high latitude temperature distribution to the variation of the Antarctic ice sheet is investigated using an atmospheric general circulation model coupled with a mixed layer ocean. Results suggest that cooling effect of the ice sheet is not negligible compared to the effect of atmospheric CO2 decrease such as during the Cenozoic. Cooling effect of high surface albedo of the ice sheet is enhanced over the ice sheet and slightly suppressed over the circumpolar ocean by the high topography of the ice sheet. High surface albedo and high topography of the ice sheet each causes increase and decrease of southward atmospheric heat transport respectively, whose contribution to maintaining the heat balance anomaly of atmosphere-ocean system is comparable to that of local adjustment of radiation balance.</t>
  </si>
  <si>
    <t>Univ Tokyo, Ctr Climate Syst Res, Meguro Ku, Tokyo 1538904, Japan</t>
  </si>
  <si>
    <t>Univ Tokyo, Ctr Climate Syst Res, Meguro Ku, 4-6-1 Komaba, Tokyo 1538904, Japan.</t>
  </si>
  <si>
    <t>ogura@ccsr.u-tokyo.ac.jp</t>
  </si>
  <si>
    <t>小倉, 知夫/I-3502-2018; Abe-Ouchi, Ayako A/M-6359-2013</t>
  </si>
  <si>
    <t>Abe-Ouchi, Ayako A/0000-0003-1745-5952</t>
  </si>
  <si>
    <t>FEB 15</t>
  </si>
  <si>
    <t>10.1029/2000GL011366</t>
  </si>
  <si>
    <t>401MX</t>
  </si>
  <si>
    <t>WOS:000166916500008</t>
  </si>
  <si>
    <t>Kipfstuhl, S; Pauer, F; Kuhs, WF; Shoji, H</t>
  </si>
  <si>
    <t>Air bubbles and clathrate hydrates in the transition zone of the NGRIP deep ice core</t>
  </si>
  <si>
    <t>ANTARCTIC ICE; TEMPERATURE; CRYSTALS; DENSIFICATION; CONVERSION; GREENLAND; SHEETS; GASES</t>
  </si>
  <si>
    <t>Field studies of air bubble and clathrate Inclusions in the NGRIP ice core reveal two stages of clathrate formation. In the transition zone translucent primary clathrates with rough surfaces and irregular shapes, formed from individual bubbles, split up and form smaller specimens. Deeper down in the transition zone (similar to 1100 m), clathrate metamorphosis sets in, giving rise to the formation of transparent secondary clathrates, with smooth and regular, often polyhedral or faceted shapes. Rod-like crystals of great length (similar to 2 mm) often show signs of separation into smaller units that fragment into smaller specimens. These findings imply that the simplified picture of one bubble forming one clathrate has to be modified.</t>
  </si>
  <si>
    <t>Alfred Wegener Inst Polar &amp; Marine Res, D-27568 Bremerhaven, Germany; Univ Gottingen, Inst Kristallog &amp; Mineral, D-37077 Gottingen, Germany; Kitami Inst Technol, Dept Civil Engn, Kitami, Hokkaido 0908507, Japan</t>
  </si>
  <si>
    <t>Helmholtz Association; Alfred Wegener Institute, Helmholtz Centre for Polar &amp; Marine Research; University of Gottingen; Kitami Institute of Technology</t>
  </si>
  <si>
    <t>Kipfstuhl, S (corresponding author), Alfred Wegener Inst Polar &amp; Marine Res, Columbusstr, D-27568 Bremerhaven, Germany.</t>
  </si>
  <si>
    <t>10.1029/1999GL006094</t>
  </si>
  <si>
    <t>WOS:000166916500009</t>
  </si>
  <si>
    <t>Muench, RD; Morison, JH; Padman, L; Martinson, D; Schlosser, P; Huber, B; Hohmann, R</t>
  </si>
  <si>
    <t>Maud Rise revisited</t>
  </si>
  <si>
    <t>WINTER MIXED LAYER; WEDDELL GYRE; SEA-ICE; ANTARCTIC OCEAN; CIRCULATION; WATER; STRATIFICATION; CURRENTS; SEAMOUNT; HELIUM</t>
  </si>
  <si>
    <t>An oceanographic field program called the Antarctic Zone Flux experiment was carried out in the eastern Weddell Sea during austral winter (July-September) 1994. Data from a drift buoy array were used in concert with shipboard observations to provide exceptionally high horizontal resolution of upper ocean hydrographic parameters near Maud Rise. Chemical and tracer data were obtained from the ship. We identify a warm pool southwest of the rise as a dynamically necessary region of positive (cyclonic) vorticity that is associated with a Taylor column over the rise. Both a warm halo surrounding the Taylor column and the warm pool are associated with thermocline shoaling that is a necessary condition for high upward heat fluxes to occur. These features extend the influence of Maud Rise bottom topography on upper ocean heat flux over a region that is larger, by a factor of at least 2, than the area directly overlying the rise. Areal mean upward heat fluxes of about 25 W m(-2) are derived using both upper ocean T (instantaneous) values and tracer data (integrated) values. Fluxes derived over the warm halo and pool regions using only upper ocean T exceeded 100 W m(-2) at specific sites. Elsewhere in the region, the T-derived heat fluxes varied widely from &lt;10 to &gt;50 W m(-2), whereas the tracer-derived heat fluxes showed a considerably more uniform distribution. Our mean values are similar to those that have been previously reported. Historical ice cover data have shown that the geographical region encompassed by Maud Rise and the warm pool area to the southwest is a preferred site for polynya formation, consistent with these findings. Time series analyses of the historical upper ocean data set suggest that conditions conducive to polynya formation are correlated with climate processes remote from the Southern Ocean.</t>
  </si>
  <si>
    <t>Earth &amp; Space Res, Seattle, WA 98102 USA; Lamont Doherty Earth Observ, Palisades, NY 10964 USA; Polar Sci Ctr, APL, Seattle, WA 98105 USA</t>
  </si>
  <si>
    <t>Earth &amp; Space Res, 1910 Fairview E,Suite 102, Seattle, WA 98102 USA.</t>
  </si>
  <si>
    <t>rmuench@esr.org</t>
  </si>
  <si>
    <t>Schlosser, Peter/C-6416-2012; Padman, Laurence/AAH-3808-2021</t>
  </si>
  <si>
    <t>Padman, Laurence/0000-0003-2010-642X; Huber, Bruce/0000-0001-6413-1614</t>
  </si>
  <si>
    <t>C2</t>
  </si>
  <si>
    <t>10.1029/2000JC000531</t>
  </si>
  <si>
    <t>401AN</t>
  </si>
  <si>
    <t>WOS:000166904900007</t>
  </si>
  <si>
    <t>Gent, PR; Large, WG; Bryan, FO</t>
  </si>
  <si>
    <t>What sets the mean transport through Drake Passage?</t>
  </si>
  <si>
    <t>ANTARCTIC CIRCUMPOLAR CURRENT; CLIMATE-SYSTEM-MODEL; MESOSCALE TRACER TRANSPORTS; EQUIVALENT BAROTROPIC MODEL; GENERAL-CIRCULATION MODEL; GLOBAL OCEAN CIRCULATION; LARGE-SCALE CIRCULATION; OBSCURANTIST PHYSICS; SOUTHERN-OCEAN; FORM DRAG</t>
  </si>
  <si>
    <t>Twelve experiments with two coarse resolutions of a global ocean model using a variety of surface forcings are analyzed to address the question of what sets the mean transport through Drake Passage. Seven of the experiments do not have an active sea-ice model, but the remaining five do. Previous theories have suggested that the Drake Passage transport is governed by the Cape Horn Sverdrup transport or, alternatively, is proportional to the square root of the meridional Ekman transport at the latitude of Drake Passage. The results presented here do not support either of these theories. The Drake Passage transport depends quite strongly on the isopycnal diffusivity parameter in the model and less strongly on the background vertical diffusivity and horizontal viscosity parameters. However, when the magnitudes of these parameters are fixed, the results show a very strong correlation between Drake Passage transport and both the strength of the meridional Ekman transport at the latitude of Drake Passage and the thermohaline circulation off the Antarctic shelf. The relationships are monotonic, but not, linear. The best estimate is that the meridional Ekman transport drives similar to 100 Sv of Drake Passage transport, while the remaining 30 Sv are driven by the global thermohaline circulation.</t>
  </si>
  <si>
    <t>Natl Ctr Atmospher Res, Boulder, CO 80307 USA</t>
  </si>
  <si>
    <t>National Center Atmospheric Research (NCAR) - USA</t>
  </si>
  <si>
    <t>Natl Ctr Atmospher Res, POB 3000, Boulder, CO 80307 USA.</t>
  </si>
  <si>
    <t>gent@ucar.edu</t>
  </si>
  <si>
    <t>Gent, Peter/HGB-9457-2022; Bryan, Frank/I-1309-2016</t>
  </si>
  <si>
    <t>Bryan, Frank/0000-0003-1672-8330</t>
  </si>
  <si>
    <t>10.1029/2000JC900036</t>
  </si>
  <si>
    <t>WOS:000166904900026</t>
  </si>
  <si>
    <t>Hughes, CW; Ash, ER</t>
  </si>
  <si>
    <t>Eddy forcing of the mean flow in the Southern Ocean</t>
  </si>
  <si>
    <t>ANTARCTIC CIRCUMPOLAR CURRENT; BETA-PLANE CHANNEL; MOMENTUM FLUX; WIND-DRIVEN; MODEL; FRONTS; TOPOGRAPHY</t>
  </si>
  <si>
    <t>We examine the force (or acceleration) exerted by eddies on the mean flow of the Southern Ocean using mapped sea surface height anomalies derived from satellite altimeter measurements. We compare this with the position of jets in the mean flow indicated by regions of increased gradient in the mean sea surface temperature. The eddy force itself is not of primary importance; rather, the curl of that force affects the mean flow, so the irrotational force due to the gradient of eddy kinetic energy can be ignored, leaving a remainder that can be interpreted in terms of the eddy vorticity flux. Unlike previous modeling and altimetric studies, we find that the eddies act to decelerate some of the strongest jets and act as vorticity sources for others. The strongest jets are clearly not accelerated by eddies. A problem of interpretation does remain, however, since it is not clear how sea surface temperatures are related to the mean flow. This ambiguity can only be completely resolved by measurement of the mean how, requiring a geoid that is accurate at length scales of order 100 km.</t>
  </si>
  <si>
    <t>Bidston Observ, Proudman Oceanog Lab, CCMS, Birkenhead L43 7RA, Merseyside, England; Univ Edinburgh, Dept Meteorol, JCMB, Edinburgh EH9 3JZ, Midlothian, Scotland</t>
  </si>
  <si>
    <t>NERC National Oceanography Centre; University of Edinburgh</t>
  </si>
  <si>
    <t>Bidston Observ, Proudman Oceanog Lab, CCMS, Birkenhead L43 7RA, Merseyside, England.</t>
  </si>
  <si>
    <t>cwh@ccms.ac.uk; ellis@met.ed.ac.uk</t>
  </si>
  <si>
    <t>Hughes, Chris W/A-3791-2010; Hughes, Chris/GQP-7479-2022</t>
  </si>
  <si>
    <t>Hughes, Chris W/0000-0002-9355-0233;</t>
  </si>
  <si>
    <t>10.1029/1999JC900332</t>
  </si>
  <si>
    <t>WOS:000166904900027</t>
  </si>
  <si>
    <t>Marsland, SJ; Wolff, JO</t>
  </si>
  <si>
    <t>On the sensitivity of Southern Ocean sea ice to the surface freshwater flux: A model study</t>
  </si>
  <si>
    <t>DECADAL CLIMATE VARIABILITY; GENERAL-CIRCULATION MODELS; WINTER MIXED LAYER; ECHO COUPLED GCM; WEDDELL POLYNYA; MEAN CIRCULATION; ATMOSPHERE MODEL; GLOBAL CLIMATE; NORTH PACIFIC; WATER MASSES</t>
  </si>
  <si>
    <t>The Hamburg Ocean Primitive Equation model is used to study the response of the Southern Ocean's vertical stability and sea ice cover to variations in the prescribed surface freshwater flux (SFWF). The model is used to investigate the response of the coupled ocean-sea ice system to a number of SFWF climatologies and to changes in the mean surface air temperature of the Southern Hemisphere. The modeled sea ice cover is very sensitive to the SFWF. In particular, a large-scale open ocean polynya develops in the Weddell Sea when the SFWF in that region falls below a critical value of similar to 35 cm yr(-1). In terms of the oceanic heat flux (OHF) to the base of the sea ice, decreasing the SFWF by 10 cm yr(-1) has roughly the same effect as an increase of 2 degreesC in the surface air temperature, with both of these changes acting to increase the Southern Ocean's mean annual OHF of similar to 23 W m(-2) by similar to 10%. Coupled ocean-atmosphere models of transient climate change due to greenhouse warming predict an increase in both surface air temperature and SFWF over the Southern Ocean sea ice zone. Because the sensitivity of the sea ice extent and volume, and of the OHF, to increasing surface air temperature is opposite to that of increasing; SFWF, these effects can be expected, at least partially, to offset each other.</t>
  </si>
  <si>
    <t>Antarctic Cooperat Res Ctr, Hobart, Tas, Australia; Univ Tasmania, Inst Antarctic &amp; So Ocean Studies, Hobart, Tas 7001, Australia</t>
  </si>
  <si>
    <t>Max Planck Inst Meteorol, Bundesstr 55, D-20146 Hamburg, Germany.</t>
  </si>
  <si>
    <t>marsland@dkrz.de</t>
  </si>
  <si>
    <t>Marsland, Simon J/A-1453-2012; Wolff, Joerg-Olaf/F-8248-2010</t>
  </si>
  <si>
    <t>Marsland, Simon J/0000-0002-5664-5276; Wolff, Joerg-Olaf/0000-0001-7037-7688</t>
  </si>
  <si>
    <t>10.1029/2000JC900086</t>
  </si>
  <si>
    <t>WOS:000166904900028</t>
  </si>
  <si>
    <t>Gille, ST; Stevens, DP; Tokmakian, RT; Heywood, KJ</t>
  </si>
  <si>
    <t>Antarctic Circumpolar Current response to zonally averaged winds</t>
  </si>
  <si>
    <t>BOTTOM PRESSURE MEASUREMENTS; GENERAL-CIRCULATION MODEL; GLOBAL OCEAN CIRCULATION; SEA-SURFACE HEIGHT; OBSCURANTIST PHYSICS; DRAKE PASSAGE; FORM DRAG; MOMENTUM BALANCE; SOUTHERN-OCEAN; NUMERICAL-MODELS</t>
  </si>
  <si>
    <t>Coherence analysis techniques are used to compare Southern Ocean wind forcing with Antarctic Circumpolar Current transport. Winds are derived from five different products: ERS winds that have been bin-averaged, weekly gridded ERS winds produced by the Centre ERS d'Archivage et de Traitement, 5 day winds from the Special Sensor Microwave Imager, analysis winds from the European Centre for Medium-Range Weather Forecasts, and reanalysis winds from the National Centers for Environmental Prediction. Barotropic transport is estimated from the pressure difference between bottom pressure gauges deployed on either side of Drake Passage by Proudman Oceanographic Laboratory as part of the World Ocean Circulation Experiment. Surface transport is estimated from TOPEX altimetry. Results indicate that transport and wind forcing are coherent over a broad range of frequencies, corresponding to time periods of roughly 10-256 days. Highest coherences occur for winds at latitudes on the south side of Drake Passage. Barotropic ocean transport lags wind forcing not by a constant time interval but by a constant phase lag of about one eighteenth of a cycle at a broad range of frequencies, suggesting that the oceanic response to wind is controlled by both the tendency term and a frequency-dependent viscous process. Surface transport lags by a longer phase interval. Wind stress curl north of Drake Passage is more coherent with transport than is wind stress curl in the latitudes of Drake Passage, Ocean transport lags wind stress curl, suggesting that transport fluctuations are not governed by a simple Sverdrupian vorticity balance. Like the observations, general circulation model transports from the Parallel Ocean Program and from the Parallel Ocean Climate Model are coherent with wind stress from the south side of Drake Passage and with wind stress curl from latitudes north of Drake Passage. Unlike the observations, model transport and bottom pressure vary almost simultaneously with the wind and do not replicate the observed phase lags, implying that the effective model viscosity may be too large.</t>
  </si>
  <si>
    <t>Univ Calif Irvine, Dept Earth Syst Sci, Irvine, CA 92697 USA; Univ E Anglia, Sch Environm Sci, Norwich NR4 7TJ, Norfolk, England; Univ E Anglia, Sch Math, Norwich NR4 7TJ, Norfolk, England; USN, Postgrad Sch, Monterey, CA USA</t>
  </si>
  <si>
    <t>University of California System; University of California Irvine; University of East Anglia; University of East Anglia; United States Department of Defense; United States Navy; Naval Postgraduate School</t>
  </si>
  <si>
    <t>Univ Calif Irvine, Dept Earth Syst Sci, Irvine, CA 92697 USA.</t>
  </si>
  <si>
    <t>Gille, Sarah T./B-3171-2012; Heywood, Karen/L-1757-2016; Stevens, David/F-2509-2010</t>
  </si>
  <si>
    <t>Gille, Sarah/0000-0001-9144-4368; Heywood, Karen/0000-0001-9859-0026; Stevens, David/0000-0002-7283-4405</t>
  </si>
  <si>
    <t>10.1029/1999JC900333</t>
  </si>
  <si>
    <t>WOS:000166904900029</t>
  </si>
  <si>
    <t>Fahrbach, E; Harms, S; Rohardt, G; Schröder, M; Woodgate, RA</t>
  </si>
  <si>
    <t>Flow of bottom water in the northwestern Weddell Sea</t>
  </si>
  <si>
    <t>DEEP-WATER; SOUTHERN-OCEAN; CIRCULATION; STRATIFICATION; TEMPERATURE; TRANSPORT; GYRE</t>
  </si>
  <si>
    <t>Weddell Sea is known to feed recently formed deep and bottom water into the Antarctic circumpolar water belt, from whence it spreads into the basins of the world ocean. The rates are still a matter of debate. To quantify the flow of bottom water in the northwestern Weddell Sea data obtained during five cruises with RN Polarstem between October 1989 and May 1998 were used. During the cruises in the Weddell Sea, five hydrographic surveys were carried out to measure water mass properties, and moored instruments were deployed over a time period of 8.5 years to obtain quasi-continuous time series. The average flow in the bottom water plume in the northwestern Weddell Sea deduced from the combined conductivity-temperature-depth and moored observations is 1.3+/-0.4 Sv. Intensive fluctuations of a wide range of timescales including annual and interannual variations are superimposed. The variations are partly induced by fluctuations in the formation rates and partly by current velocity fluctuations related to the large-scale circulation. Taking into account entrainment of modified Warm Deep Water and Weddell Sea Deep Water during the descent of the plume along the slope, between 0.5 Sv and 1.3 Sv of surface-ventilated water is supplied to the deep sea. This is significantly less than the widely accepted ventilation rates of the deep sea. If there are no other significant sources of newly ventilated water in the Weddell Sea, either the dominant role of Weddell Sea Bottom Water in the Southern Ocean or the global ventilation rates have to be reconsidered.</t>
  </si>
  <si>
    <t>10.1029/2000JC900142</t>
  </si>
  <si>
    <t>WOS:000166904900030</t>
  </si>
  <si>
    <t>Rubython, KE; Heywood, KJ; Vassie, JM</t>
  </si>
  <si>
    <t>Interannual variability of bottom temperatures in Drake Passage</t>
  </si>
  <si>
    <t>ANTARCTIC CIRCUMPOLAR CURRENT; WEDDELL SEA; WATER FORMATION; SOUTH-ATLANTIC; SHELF WATER; DEEP-WATER; TRANSPORT; OCEAN; STRATIFICATION; CIRCULATION</t>
  </si>
  <si>
    <t>A continuous 4 year record of in situ bottom temperature measurements at 3690 m within Drake Passage (59 degrees 43.7S, 55 degrees 29.5W) from November 1992 to November 1996 is presented. The record shows fluctuations of order 0.02 degreesC over monthly periods throughout the 4 years, but the annual mean temperature is the subject under discussion in this work. Between June 1994 and May 1995 the water sampled was of the order of 0.1 degreesC cooler than the water sampled on either side of this time period. This temporal temperature anomaly has only become apparent because of the availability of a continuous data set. Hydrographic data sampled from the same location as part of the World Ocean Circulation Experiment SR1 repeat section provide potential temperature and salinity values that enable the bottom temperature record to be linked to variability in Weddell Sea Deep Water (WSDW). Oxygen isotope measurements demonstrate that the year-long period of cooler WSDW measured in Drake Passage is a signature of Ice Shelf Water in the formation process of deep and bottom waters within the Weddell Sea.</t>
  </si>
  <si>
    <t>Univ E Anglia, Sch Environm Sci, Norwich NR4 7TJ, Norfolk, England; Bidston Observ, Proudman Oceanog Lab, Birkenhead L43 7RA, Merseyside, England</t>
  </si>
  <si>
    <t>University of East Anglia; NERC National Oceanography Centre</t>
  </si>
  <si>
    <t>k.rubython@uea.ac.uk; k.heywood@uea.ac.uk; imv@pol.ac.uk</t>
  </si>
  <si>
    <t>Heywood, Karen/L-1757-2016</t>
  </si>
  <si>
    <t>Heywood, Karen/0000-0001-9859-0026</t>
  </si>
  <si>
    <t>10.1029/2000JC900114</t>
  </si>
  <si>
    <t>WOS:000166904900031</t>
  </si>
  <si>
    <t>Yaremchuk, M; Bindoff, NL; Schröter, J; Nechaev, D; Rintoul, SR</t>
  </si>
  <si>
    <t>On the zonal and meridional circulation and ocean transports between Tasmania and Antarctica</t>
  </si>
  <si>
    <t>TOTAL GEOSTROPHIC CIRCULATION; SOUTH-PACIFIC OCEAN; FRESH-WATER FLUXES; CIRCUMPOLAR CURRENT; HYDROGRAPHIC DATA; INDIAN OCEANS; FLOW PATTERNS; HEAT FLUXES; ATLANTIC; SECTION</t>
  </si>
  <si>
    <t>The large scale circulation of the WOCE hydrographic section SR3 between Tasmania and Antarctica is studied through inversion of hydrographic, wind stress and current meter data acquired between 1993 and 1996. These data are assimilated within the framework of a steady state model that is based on hydrostatics, geostrophy, tracer, and potential vorticity conservation. Posterior variances of the major current systems are estimated via the implicit inversion of the Hessian matrix, associated with the assimilation scheme. Analysis of the residuals shows that averaged water mass properties are conserved and that most of the adjustment by the solution is through the uniform vertical displacement of density surfaces within the water column. The inclusion of the tracer and potential vorticity constraints allows parts of the large-scale vertical and meridional circulation to be determined. The upwelling over the Antarctic Divergence is driven mainly by the winds, while the downwelling in the Sub-antarctic Front (SAF) is shown to result from the meridional gradients of the density field caused by the mean Antarctic Circumpolar Current. The shallow meridional and vertical circulation in the SAF is along density surfaces and follows the salinity minimum waters to st depth of 500 dbar. This result suggests a possible mechanism for ventilation of Antarctic Intermediate Water. The total volume transport between Tasmania and Antarctica is estimated as 151+/-50 Sv, with variations between repeat measurements for this section of about 10 Sv. The cross-section circulation pattern can be qualitatively subdivided into five persistent features and their transports and errors are given.</t>
  </si>
  <si>
    <t>Univ Hawaii Manoa, Int Pacific Res Ctr, Honolulu, HI 96822 USA; Antarctic CRC, Hobart, Tas 7001, Australia; Alfred Wegener Inst Polar &amp; Meeresforsch, D-27515 Bremerhaven, Germany; CSIRO, Div Marine Res, Hobart, Tas 7001, Australia</t>
  </si>
  <si>
    <t>University of Hawaii System; University of Hawaii Manoa; Helmholtz Association; Alfred Wegener Institute, Helmholtz Centre for Polar &amp; Marine Research; Commonwealth Scientific &amp; Industrial Research Organisation (CSIRO)</t>
  </si>
  <si>
    <t>Univ Hawaii Manoa, Int Pacific Res Ctr, Honolulu, HI 96822 USA.</t>
  </si>
  <si>
    <t>maxy@musashimaru.soest.hawaii.edu; n.bindoff@utas.edu.au; jgs@AWI-Bremerhaven.DE; steve.rintoul@marine.csiro.au</t>
  </si>
  <si>
    <t>Yaremchuk, Max/AAJ-5777-2021; Bindoff, Nathaniel Lee/IVV-0333-2023; Schröter, Jens G/H-8806-2016; Bindoff, Nathaniel Lee/C-8050-2011; Rintoul, Stephen R/A-1471-2012</t>
  </si>
  <si>
    <t>Bindoff, Nathaniel Lee/0000-0001-5662-9519; Schröter, Jens G/0000-0002-9240-5798; Bindoff, Nathaniel Lee/0000-0001-5662-9519; Rintoul, Stephen R/0000-0002-7055-9876</t>
  </si>
  <si>
    <t>10.1029/2000JC900117</t>
  </si>
  <si>
    <t>WOS:000166904900032</t>
  </si>
  <si>
    <t>Rintoul, SR; Sokolov, S</t>
  </si>
  <si>
    <t>Baroclinic transport variability of the Antarctic Circumpolar Current south of Australia (WOCE repeat section SR3)</t>
  </si>
  <si>
    <t>DRAKE PASSAGE; INDIAN-OCEAN; HYDROGRAPHIC SECTION; BOTTOM WATER; SLOPE FRONT; CIRCULATION; WIND; SEA; TASMANIA; PRESSURE</t>
  </si>
  <si>
    <t>Baroclinic transport variability of the Antarctic Circumpolar Current (ACC) near 140 degreesE is estimated from six: occupations of a repeat section occupied as part of the World Ocean Circulation Experiment (WOCE section SR3). The mean top-to-bottom volume transport is 147+/-10 Sv (mean +/-1 standard deviation), relative to a deep reference level consistent with water mass properties and float trajectories. The location and transport of the main fronts of the ACC are relatively steady: the Subantarctic Front carries 105+/-7 Sv at a mean latitude between 51.0 and 52 degreesS; the northern branch of the Polar Front carries 5+/-5 Sv to the east between 53 degrees and 54 degreesS; the southern Polar Front carries 24+/-3 Sv eastward at 59 degreesS; and two cores of the southern ACC front at 62 degrees and 64 degreesS carry 18+/-3 and 11+/-3 Sv, respectively. The variability in net property transports is largely due to variability of currents north of the ACC, in particular, an outflow of 8+/-13 Sv of mater from the Tasman Sea and a deep anticyclonic recirculation carrying 22+/-8 Sv in the Subantarctic Zone. Variability of net baroclinic volume transport is similar in magnitude to that measured at Drake Passage. In density layers, transport variability is small in deep layers, but significant (range of 4 to 16 Sv) in the Subantarctic Mode Water. Variability of eastward heat transport across SR3 is significant (range of 139 degreesC Sv, or 0.57 x 10(15) W, relative to 0 degreesC) and large relative to meridional heat flux in the Southern Hemisphere subtropical gyres. Heat transport changes are primarily due to variations in the westward flow of relatively warm water across the northern end of the section. Weak (strong) westward flow and large (small) eastward heat flux coincides with equatorward (poleward) displacements of the latitude of zero wind stress curl.</t>
  </si>
  <si>
    <t>CSIRO, Marine Res &amp; Antarctic Cooperat Res Ctr, Hobart, Tas 7001, Australia</t>
  </si>
  <si>
    <t>CSIRO, Marine Res &amp; Antarctic Cooperat Res Ctr, GPO Box 1538, Hobart, Tas 7001, Australia.</t>
  </si>
  <si>
    <t>steve.rintoul@marine.csiro.au</t>
  </si>
  <si>
    <t>Sokolov, Serguei/A-4882-2008; Rintoul, Stephen R/A-1471-2012</t>
  </si>
  <si>
    <t>Rintoul, Stephen R/0000-0002-7055-9876</t>
  </si>
  <si>
    <t>10.1029/2000JC900107</t>
  </si>
  <si>
    <t>WOS:000166904900033</t>
  </si>
  <si>
    <t>Sun, C; Watts, DR</t>
  </si>
  <si>
    <t>A circumpolar gravest empirical mode for the Southern Ocean hydrography</t>
  </si>
  <si>
    <t>PACIFIC-OCEAN; LARGE-SCALE</t>
  </si>
  <si>
    <t>Historical hydrographic data from the Southern Ocean are projected into a baroclinic stream function space, generating a three-dimensional gravest empirical mode (GEM) parameterized by pressure, geopotential height, and longitude. The low-dimensional GEM projection is intrinsically steady, vertically coherent, and equivalent barotropic. The GEM fields capture more than 97% of the total density and temperature variance in the Antarctic Circumpolar Current region.</t>
  </si>
  <si>
    <t>Univ Rhode Isl, Grad Sch Oceanog, Narragansett, RI 02882 USA</t>
  </si>
  <si>
    <t>University of Rhode Island</t>
  </si>
  <si>
    <t>Univ Rhode Isl, Grad Sch Oceanog, Narragansett, RI 02882 USA.</t>
  </si>
  <si>
    <t>csun@gso.uri.edu</t>
  </si>
  <si>
    <t>Sun, Che/0000-0002-4223-293X</t>
  </si>
  <si>
    <t>10.1029/2000JC900112</t>
  </si>
  <si>
    <t>WOS:000166904900034</t>
  </si>
  <si>
    <t>Park, YH; Charriaud, E; Craneguy, P; Kartavtseff, A</t>
  </si>
  <si>
    <t>Fronts, transport, and Weddell Gyre at 30°E between Africa and Antarctica</t>
  </si>
  <si>
    <t>AGULHAS RETURN CURRENT; SOUTH INDIAN-OCEAN; CIRCUMPOLAR CURRENT; WATER MASSES; THERMOHALINE STRUCTURE; TOPOGRAPHIC CONTROL; CIRCULATION; STRATIFICATION; VARIABILITY; DEEP</t>
  </si>
  <si>
    <t>A detailed description of the frontal structure of major currents and estimates of transport between Africa and Antarctica at 30 degreesE were made on the basis of a finely resolved hydrographic section made during the 1996 Civa-2 cruise. Particular emphasis was put on a refinement of the eastern boundary of the Weddell Gyre by analyzing also supplementary hydrographic data from the 1993 Civa-1 cruise and the best available historical hydrographic data in the Weddell and Enderby Basins. Contrary to the general belief, our results show that the Weddel Gyre extends far beyond 30 degreesE, reaching at least as far east as the Enderby Land promontory (53 degreesE). From this point, westward currents along the Antarctic continental margin constitute the gyre's southern boundary, thus closing the cyclonic circulation of the gyre at its easternmost end. As the most convincing evidence for this refined circulation scheme, significant westward transport south of 65 degreesS has been identified from the Civa-1 acoustic Doppler current profiler data. We have shown also, using an inertial jet model, that the blocked feature of the Weddell cold regime (similar to 57 degreesS) to the west of 25 degreesE is due to the topographic control of flow by local bathymetry. During the Civa-2 cruise, similar to 70% of the Antarctic Circumpolar Current (ACC) was concentrated near the Polar Front (51 degreesS), with surface speeds reaching up to 70 cm s(-1). The baroclinic current field in the subpolar area south of the Weddell Front (58 degreesS for Civa-2 and 57 degreesS for Civa-1) is featureless (&lt;3 cm s(-1)), but yielding a nonnegligible eastward transport of 15 Sv (1 Sv = 10(6) m(3) s(-1)). This bottom-referenced baroclinic transport is entirely compensated by a substantial westward barotropic transport south of 65 degreesS. The ACC transport across the 30 degreesE section during the Civa-2 cruise is estimated to be similar to 160 Sv.</t>
  </si>
  <si>
    <t>Museum Natl Hist Nat, Lab Oceanog Phys, F-75005 Paris, France; Univ Paris 06, Lab Oceanog Dynam &amp; Climatol, F-75005 Paris, France</t>
  </si>
  <si>
    <t>Museum National d'Histoire Naturelle (MNHN); Sorbonne Universite</t>
  </si>
  <si>
    <t>Museum Natl Hist Nat, Lab Oceanog Phys, 43 Rue Cuvier, F-75005 Paris, France.</t>
  </si>
  <si>
    <t>yhpark@mnhn.fr; ak@lodyc.jussieu.fr</t>
  </si>
  <si>
    <t>10.1029/2000JC900087</t>
  </si>
  <si>
    <t>WOS:000166904900035</t>
  </si>
  <si>
    <t>Pollard, RT; Read, JF</t>
  </si>
  <si>
    <t>Circulation pathways and transports of the Southern Ocean in the vicinity of the Southwest Indian Ridge</t>
  </si>
  <si>
    <t>ANTARCTIC CIRCUMPOLAR CURRENT; AGULHAS RETURN CURRENT; FRONTAL STRUCTURE; WEDDELL GYRE; AFRICA; ALTIMETRY; APRIL; BASIN</t>
  </si>
  <si>
    <t>Circulation pathways and transports of the Antarctic Circumpolar Current (ACC) and Agulhas Return Current (ARC) around the complex bathymetry of the Southwest Indian Ridge and Del Cano Rise have been established from two hydrographic surveys and two-year long moorings. After crossing the Southwest Indian Ridge in a 110 Sv (1 Sv = 10(6) m(3)s(-1)) flow concentrated at 48 degreesS, the ACC fragments before being reconcentrated into several branches by the bathymetry. In particular 30-40 Sv turns north around the eastern flank of the Del Cano Rise, turns west as part of anticyclonic flow round the Del Cano Rise finally returning eastward as part of the Crozet Front. Eddy variability from both satellite data and moorings is low over the bathymetry of the Del Cano Rise, so the strong currents found between the Del Cano Rise and the Crozet Plateau are believed to be permanent features. This largely barotropic, time-independent transport is the major pathway for the ACC to enter the Crozet Basin. The anticyclonic flow also transfers water from the Mozambique Basin across the Southwest Indian Ridge to the south side of the Del Cano Rise. Given the evidence for fragmentation of the ACC where it crosses the Southwest Indian Ridge and the concentration of several jets into the Crozet Front from the ACC, Subtropical Front and Agulhas Return Current, it is misleading to relate standard frontal definitions such as the Polar Front and Subantarctic Front to the major transport pathways.</t>
  </si>
  <si>
    <t>Southampton Oceanog Ctr, Southampton SO14 3ZH, Hants, England</t>
  </si>
  <si>
    <t>NERC National Oceanography Centre; University of Southampton</t>
  </si>
  <si>
    <t>Pollard, RT (corresponding author), Southampton Oceanog Ctr, Empress Dock, Southampton SO14 3ZH, Hants, England.</t>
  </si>
  <si>
    <t>raymon.t.pollard@soc.soton.ac.uk</t>
  </si>
  <si>
    <t>10.1029/2000JC900090</t>
  </si>
  <si>
    <t>WOS:000166904900036</t>
  </si>
  <si>
    <t>Meredith, MP; Watson, AJ; Van Scoy, KA</t>
  </si>
  <si>
    <t>Chlorofluorocarbon-derived formation rates of the deep and bottom waters of the Weddell Sea</t>
  </si>
  <si>
    <t>WESTERN BOUNDARY CURRENT; ICE STATION WEDDELL; CARBON-TETRACHLORIDE; TRANSIENT TRACER; SOUTH-ATLANTIC; INDIAN-OCEAN; VEMA CHANNEL; CIRCULATION; FLOW; CHLOROFLUOROMETHANE</t>
  </si>
  <si>
    <t>The spreading and mixing of deep and bottom waters from the Weddell Sea (originating with potential temperature &lt;0C) are investigated through analysis of new and historical CFC measurements. We investigate the component that enters the southern Indian Ocean with a simple one-dimensional advection-diffusion model of the deep boundary current. This model does not require a condition of mixing sorely with tracer-free water to be imposed. As boundary conditions, we derive time histories for the CFC concentrations of newly formed Weddell Sea deep and bottom waters. A range of best fit velocities is obtained by determining which model velocities produce model tracer concentrations closest to measured concentrations. From this, we derive a formation rate of 3.2+/-1.5 Sv for the waters originating with temperatures lower than 0 degreesC that subsequently enter the southern Indian Ocean. This compares to an upper limit for these waters of 5.7 Sv derived from the CFC-11/CFC-12 ratio. Whilst the former value is dependent on the highly idealized concepts of the model used, the latter is a more robust upper limit. Using the CFC-11/CFC-12 ratio measured at Vema Channel during the World Ocean Circulation Experiment cruise A23, an upper limit of 0.9 Sv is derived for the formation rate of waters colder than 0 degreesC that enter the South Atlantic. Overall, an upper limit of 6.6 Sv is derived for the rate of formation of the deep and bottom waters of the Weddell Sea. A better representation is obtained by combining the upper limit to the South Atlantic component with the model-derived southern Indian Ocean estimate; we thus estimate the formation rate of the deep and bottom waters in the Weddell Sea to be 3.7+/-1.6 Sv. Whilst the range obtained is large and the assumptions implicit in the calculations are potentially significant, we believe this more realistically represents the true formation rate than estimates derived using an imposed condition of tracer-free mixing. The range can be narrowed in future as more data become available.</t>
  </si>
  <si>
    <t>Univ E Anglia, Sch Environm Sci, Norwich NR4 7TJ, Norfolk, England; Johns Hopkins Univ, Dept Earth &amp; Planetary Sci, Baltimore, MD 21218 USA; Univ Wisconsin, Dept Atmospher &amp; Ocean Sci, Madison, WI 53706 USA</t>
  </si>
  <si>
    <t>University of East Anglia; Johns Hopkins University; University of Wisconsin System; University of Wisconsin Madison</t>
  </si>
  <si>
    <t>British Antarctic Survey, Div Phys Sci, High Cross,Madingley Rd, Cambridge CB3 0ET, England.</t>
  </si>
  <si>
    <t>mmm@bas.ac.uk</t>
  </si>
  <si>
    <t>Meredith, Michael/0000-0002-7342-7756; Haine, Thomas/0000-0001-8231-2419; Watson, Andrew/0000-0002-9654-8147</t>
  </si>
  <si>
    <t>10.1029/2000JC900119</t>
  </si>
  <si>
    <t>WOS:000166904900037</t>
  </si>
  <si>
    <t>Farris, D</t>
  </si>
  <si>
    <t>Shackleton's way: Leadership lessons from the great Antarctic explorer</t>
  </si>
  <si>
    <t>eddin., Mohammed/AAD-9942-2019</t>
  </si>
  <si>
    <t>401AM</t>
  </si>
  <si>
    <t>WOS:000166904800137</t>
  </si>
  <si>
    <t>Troedson, AL; Davies, PJ</t>
  </si>
  <si>
    <t>Contrasting facies patterns in subtropical and temperate continental slope sediments: inferences from east Australian late Quaternary records</t>
  </si>
  <si>
    <t>continental slope; sedimentation; sea level change; Quaternary; Tasman Sea; Coral Sea</t>
  </si>
  <si>
    <t>SEA-LEVEL RECORD; TASMAN SEA; CARBONATE PLATFORMS; OXYGEN ISOTOPES; MARGIN; RESPONSES; CORALS; RATES; SHELF; AGES</t>
  </si>
  <si>
    <t>Studies of latest Quaternary continental slope sediments at two localities on the east Australian margin have revealed markedly different responses to late Quaternary sea level fluctuations. Offshore of Noosa, in the sub-tropics, the sediment is predominantly a mixture of fine metastable carbonate, siliciclastic material, and pelagic carbonate. Important features of the stratigraphy include a siliciclastic-dominated facies deposited relatively slowly during the last glacial lowstand (sedimentation rate less than or equal to8 cm/ka), and a calcareous facies, rich in metastable carbonate, deposited more rapidly during the late post-glacial transgression (sedimentation rates 15-24 cm/ka). Highstand and transgressive sedimentation rates are greater than lowstand rates by a factor of 2.5-6 due to increased shelf carbonate productivity after flooding of the mid-shelf. Off Sydney, in temperate latitudes, continental slope sediment is largely a mixture of fine siliciclastic material and pelagic carbonate. Mean sedimentation rates range from 2 to 5 cm/ka over the last four oxygen isotope stages, with mean glacial/interstadial rates higher than Holocene rates by a factor of similar to1.36. This largely reflects the transfer of siliciclastic mud from the shelf to the slope during sea level regression. In both localities, facies changes on the slope are not related to specific sea level states (e.g. lowstand facies, transgressive facies, etc.), but reflect instead the interaction of changing sea level with shelf morphology. (C) 2001 Elsevier Science B.V. All rights reserved.</t>
  </si>
  <si>
    <t>Univ Sydney, Dept Geol &amp; Geophys, Sydney, NSW 2006, Australia</t>
  </si>
  <si>
    <t>University of Sydney</t>
  </si>
  <si>
    <t>Troedson, AL (corresponding author), British Antarctic Survey, High Cross,Madingley Rd, Cambridge CB3 0ET, England.</t>
  </si>
  <si>
    <t>10.1016/S0025-3227(00)00132-8</t>
  </si>
  <si>
    <t>409EL</t>
  </si>
  <si>
    <t>WOS:000167371500007</t>
  </si>
  <si>
    <t>Lange, AE; Ade, PAR; Bock, JJ; Bond, JR; Borrill, J; Boscaleri, A; Coble, K; Crill, BP; de Bernardis, P; Farese, P; Ferreira, P; Ganga, K; Giacometti, M; Hivon, E; Hristov, VV; Iacoangeli, A; Jaffe, AH; Martinis, L; Masi, S; Mauskopf, PD; Melchiorri, A; Montroy, T; Netterfield, CB; Pascale, E; Piacentini, F; Pogosyan, D; Prunet, S; Rao, S; Romeo, G; Ruhl, JE; Scaramuzzi, F; Sforna, D</t>
  </si>
  <si>
    <t>Cosmological parameters from the first results of boomerang</t>
  </si>
  <si>
    <t>PHYSICAL REVIEW D</t>
  </si>
  <si>
    <t>ANGULAR POWER SPECTRUM; AMERICAN TEST FLIGHT; CONSTRAINTS; UNIVERSE; LAMBDA; MODELS; SCALE; OMEGA; PEAK</t>
  </si>
  <si>
    <t>The anisotropy of the cosmic microwave background radiation contains information about the contents and history of the universe. We report new limits on cosmological parameters derived from the angular power spectrum measured in the first Antarctic flight of the Boomerang experiment. Within the framework of models with adiabatic perturbations, and using only weakly restrictive prior probabilities on the age of the universe and the nubble expansion parameter h, we find that the curvature is consistent with Rat and that the primordial fluctuation spectrum is consistent with scale invariant, in agreement with the basic inflation paradigm. We find that the data prefer a baryon density Omega (b)h(2) above, though similar to, the estimates from light element abundances and big bang nucleosynthesis. When combined with large scale structure observations, the Boomerang data provide clear detections of both dark matter and dark energy contributions to the total energy density Omega (tot), independent of data from high-redshift supernovae.</t>
  </si>
  <si>
    <t>CALTECH, Pasadena, CA 91125 USA; Queen Mary Univ London, London E1 4NS, England; CALTECH, Jet Prop Lab, Pasadena, CA 91109 USA; Univ Toronto, Canadian Inst Theoret Astrophys, Toronto, ON, Canada; Univ Calif Berkeley, Lawrence Berkeley Lab, Natl Energy Res Sci Comp Ctr, Berkeley, CA 94720 USA; CNR, Ist Ric Onde Elettromagnet, I-50127 Florence, Italy; Univ Calif Santa Barbara, Dept Phys, Santa Barbara, CA 93106 USA; Univ Roma La Sapienza, Dipartimento Fis, I-00185 Rome, Italy; Univ Oxford, Nucl &amp; Astrophys Lab, Oxford OX2 6HT, England; Univ Geneva, Dept Phys Theor, CH-1211 Geneva 4, Switzerland; Coll France, F-75231 Paris 05, France; Univ Calif Berkeley, Ctr Particle Astrophys, Berkeley, CA 94720 USA; Ctr Ric Franscati, Comitato Nazl Ric &amp; Sviluppo Energia Nucl &amp; Energ, I-00044 Frascati, Italy; Univ Massachusetts, Dept Phys &amp; Astron, Amherst, MA 01003 USA; Univ Toronto, Dept Phys, Toronto, ON, Canada; Univ Toronto, Dept Astron, Toronto, ON, Canada; Ist Nazl Geofis, I-00161 Rome, Italy</t>
  </si>
  <si>
    <t>California Institute of Technology; University of London; Queen Mary University London; California Institute of Technology; National Aeronautics &amp; Space Administration (NASA); NASA Jet Propulsion Laboratory (JPL); University of Toronto; University of California System; University of California Berkeley; United States Department of Energy (DOE); Lawrence Berkeley National Laboratory; Consiglio Nazionale delle Ricerche (CNR); University of California System; University of California Santa Barbara; Sapienza University Rome; University of Oxford; University of Geneva; Universite PSL; College de France; University of California System; University of California Berkeley; University of Massachusetts System; University of Massachusetts Amherst; University of Toronto; University of Toronto; Istituto Nazionale Geofisica e Vulcanologia (INGV)</t>
  </si>
  <si>
    <t>CALTECH, Pasadena, CA 91125 USA.</t>
  </si>
  <si>
    <t>Pascale, Enzo/A-3665-2012; Piacentini, Francesco/ABD-3434-2020; Piacentini, Francesco/E-7234-2010; Jaffe, Andrew/D-3526-2009; Hivon, Eric/C-4298-2014; Melchiorri, Alessandro/AAD-1715-2020; Ruhl, John/HHS-2212-2022</t>
  </si>
  <si>
    <t>Pascale, Enzo/0000-0002-3242-8154; Piacentini, Francesco/0000-0002-5444-9327; Hivon, Eric/0000-0003-1880-2733; Melchiorri, Alessandro/0000-0001-5326-6003; Ruhl, John/0000-0001-5875-4751; Prunet, Simon/0000-0002-1755-4582; Masi, Silvia/0000-0001-5105-1439; Crill, Brendan/0000-0002-4650-8518; ROMEO, Giovanni/0000-0002-5535-7803; Mauskopf, Philip/0000-0001-6397-5516</t>
  </si>
  <si>
    <t>AMER PHYSICAL SOC</t>
  </si>
  <si>
    <t>COLLEGE PK</t>
  </si>
  <si>
    <t>ONE PHYSICS ELLIPSE, COLLEGE PK, MD 20740-3844 USA</t>
  </si>
  <si>
    <t>1550-7998</t>
  </si>
  <si>
    <t>1550-2368</t>
  </si>
  <si>
    <t>PHYS REV D</t>
  </si>
  <si>
    <t>Phys. Rev. D</t>
  </si>
  <si>
    <t>10.1103/PhysRevD.63.042001</t>
  </si>
  <si>
    <t>Astronomy &amp; Astrophysics; Physics, Particles &amp; Fields</t>
  </si>
  <si>
    <t>Astronomy &amp; Astrophysics; Physics</t>
  </si>
  <si>
    <t>402PG</t>
  </si>
  <si>
    <t>WOS:000166996900005</t>
  </si>
  <si>
    <t>Jones, DL; Duncan, RA; Briden, JC; Randall, DE; MacNiocaill, C</t>
  </si>
  <si>
    <t>Age of the Batoka basalts, northern Zimbabwe, and the duration of Karoo Large Igneous Province magmatism</t>
  </si>
  <si>
    <t>Paleomagnetism; 40Ar/39Ar geochronology; large igneous provinces; Karoo</t>
  </si>
  <si>
    <t>PALEOMAGNETISM; GONDWANA; AFRICA</t>
  </si>
  <si>
    <t>Analysis of the Batoka Basalts exposed in the Zambezi Gorge some 40 km east of Victoria Falls characterizes them as high Fe, moderately high Ti, and low K, P, and Zr tholeiites. The 40Ar-39Ar age determinations are tightly clustered at 180-179 Ma. All of the lavas that were sampled have normal paleomagnetic polarity, and the corresponding pole position is 63.9 degreesN, 260.6 degreesE, A(95) = 14.9 degrees. In South Africa, Lesotho, and Namibia the vase majority of Karoo basalts were extruded at 183 +/- 1 Ma with some as young as 179 Ma [Duncan et al., 1997]. Paleomagnetic and geochemical correlation of the similar to 179 Ma rocks between Zimbabwe and Lebombo supports the conclusion that the age difference is real and hence confirms the estimate of similar to5 Myr for the duration of emplacement of the Karoo Large Igneous Province.</t>
  </si>
  <si>
    <t>Univ Zimbabwe, Dept Phys, Harare, Zimbabwe; Oregon State Univ, Coll Ocean &amp; Atmospher Sci, Corvallis, OR 97331 USA; Univ Oxford, Environm Change Inst, Oxford, England; British Antarctic Survey, Cambridge CB3 0ET, England; Univ Oxford, Dept Earth Sci, Oxford OX1 3PR, England</t>
  </si>
  <si>
    <t>University of Zimbabwe; Oregon State University; University of Oxford; UK Research &amp; Innovation (UKRI); Natural Environment Research Council (NERC); NERC British Antarctic Survey; University of Oxford</t>
  </si>
  <si>
    <t>Univ Zimbabwe, Dept Phys, Harare, Zimbabwe.</t>
  </si>
  <si>
    <t>Jim.Briden@eci.ox.ac.uk</t>
  </si>
  <si>
    <t>Duncan, Robert A/A-2168-2013; Niocaill, Conall Mac/B-9834-2009</t>
  </si>
  <si>
    <t>Niocaill, Conall Mac/0000-0002-3782-0198</t>
  </si>
  <si>
    <t>FEB 12</t>
  </si>
  <si>
    <t>2000GC000110</t>
  </si>
  <si>
    <t>458LF</t>
  </si>
  <si>
    <t>WOS:000170195300001</t>
  </si>
  <si>
    <t>Ojha, R; Stark, AA; Hsieh, HH; Lane, AP; Chamberlin, RA; Bania, TM; Bolatto, AD; Jackson, JM; Wright, GA</t>
  </si>
  <si>
    <t>AST/RO observations of atomic carbon near the Galactic center</t>
  </si>
  <si>
    <t>galaxy : abundances; galaxy : center; ISM : atoms; ISM : general; ISM : molecules</t>
  </si>
  <si>
    <t>C I EMISSION; 1ST DETECTION; SUBMILLIMETER</t>
  </si>
  <si>
    <t>We present a coarsely sampled map of the region \l\ less than or equal to 2 degrees, \b\ less than or equal to 0.degrees1 in the 492 GHz (P-3(1) --&gt; P-3(0)) fine-structure transition of neutral carbon, observed with the Antarctic Submillimeter Telescope and Remote Observatory (AST/RO). The distribution of [C I] emission is similar on the large scale to that of CO J = 1 --&gt; 0. On average, the ratio of the integrated intensities, I-[C I]/I-12CO, is higher in the Galactic disk than in the Galactic center region. This result is accounted for by the absorption of (CO)-C-12 within the clouds located in the outer Galactic disk. The ratio I-[C I]/I-12CO is surprisingly uniform over the variety of environments near the Galactic center. On average, [C I] is optically thin [or as optically thin as (CO)-C-13 (J = 1 --&gt; 0)], even in the dense molecular clouds of the Galactic center region.</t>
  </si>
  <si>
    <t>Harvard Smithsonian Ctr Astrophys, Cambridge, MA 02138 USA; Caltech Submillimeter Observ, Hilo, HI 96720 USA; Boston Univ, Dept Astron, Boston, MA 02215 USA; Bell Labs, Holmdel, NJ 07733 USA</t>
  </si>
  <si>
    <t>Smithsonian Institution; Harvard University; Smithsonian Astrophysical Observatory; California Institute of Technology; Boston University; AT&amp;T</t>
  </si>
  <si>
    <t>Harvard Smithsonian Ctr Astrophys, 60 Garden St,MS 78, Cambridge, MA 02138 USA.</t>
  </si>
  <si>
    <t>rojha@cfa.harvard.edu; aas@cfa.harvard.edu; hhsieh@cfa.harvard.edu; alane@cfa.harvard.edu; cham@ulu.submm.caltech.edu; bania@bu.edu; bolatto@bu.edu; jackson@bu.edu; gwright@bell-labs.com</t>
  </si>
  <si>
    <t>Bania, Thomas M/H-2318-2014</t>
  </si>
  <si>
    <t>Stark, Antony/0000-0002-2718-9996</t>
  </si>
  <si>
    <t>FEB 10</t>
  </si>
  <si>
    <t>10.1086/318693</t>
  </si>
  <si>
    <t>401QN</t>
  </si>
  <si>
    <t>WOS:000166939900022</t>
  </si>
  <si>
    <t>Veale, S</t>
  </si>
  <si>
    <t>The South Pole: An account of the Norwegian Antarctic expedition in the Fram, 1910-1912</t>
  </si>
  <si>
    <t>620 8TH AVE, NEW YORK, NY 10018 USA</t>
  </si>
  <si>
    <t>FEB 4</t>
  </si>
  <si>
    <t>396BD</t>
  </si>
  <si>
    <t>WOS:000166615700042</t>
  </si>
  <si>
    <t>Tseng, PH; Jiaang, WT; Chang, MY; Chen, ST</t>
  </si>
  <si>
    <t>Facile solid-phase synthesis of an antifreeze glycoprotein</t>
  </si>
  <si>
    <t>antifreeze; glycoproteins; peptides; solid-phase synthesis; T-F antigen</t>
  </si>
  <si>
    <t>POINT-DEPRESSING GLYCOPROTEINS; STEREOSELECTIVE SYNTHESIS; GLYCOPEPTIDE SYNTHESIS; GLYCOSYL DONORS; ANTARCTIC FISH; POLAR FISH; CONFORMATION; PROTEINS; SPECTROSCOPY; CARBOHYDRATE</t>
  </si>
  <si>
    <t>The antifreeze glycoproteins (AFGPs) 1 are composed of a repeating tripeptide unit (Ala-Thr-Ala) in which the threonine residue is glycosylated with the disaccharide beta -D-Gal-(1--&gt;3)-alpha -D-GalNAc. A new procedure for synthesizing AFGPs using Fmoc-(Ac-4-beta -D-Gal-(1--&gt;3)-benzylidene-alpha -D-GalNAc)Thr-OH (10) as a building block has been developed. Total synthesis of the AFGPs (n = 4, 8) in overall yields of 61 % and 33 %, respectively, has demonstrated the usefulness of the method. The synthetic AFGPs 1 (n = 4, 8) showed a similar conformation to the native AFGPs in their circular dichroism spectra.</t>
  </si>
  <si>
    <t>Acad Sinica, Inst Biol Chem, Taipei 115, Taiwan</t>
  </si>
  <si>
    <t>Academia Sinica - Taiwan</t>
  </si>
  <si>
    <t>Chen, ST (corresponding author), Acad Sinica, Inst Biol Chem, Taipei 115, Taiwan.</t>
  </si>
  <si>
    <t>Chang, Meng-Yang/F-3588-2010; Jiaang, Weir-Torn/D-2072-2010</t>
  </si>
  <si>
    <t>PO BOX 10 11 61, D-69451 BERLIN, GERMANY</t>
  </si>
  <si>
    <t>FEB 2</t>
  </si>
  <si>
    <t>10.1002/1521-3765(20010202)7:3&lt;585::AID-CHEM585&gt;3.0.CO;2-6</t>
  </si>
  <si>
    <t>Science Citation Index Expanded (SCI-EXPANDED); Index Chemicus (IC); Current Chemical Reactions (CCR-EXPANDED)</t>
  </si>
  <si>
    <t>401FE</t>
  </si>
  <si>
    <t>WOS:000166916000004</t>
  </si>
  <si>
    <t>Shepherd, A; Wingham, DJ; Mansley, JAD; Corr, HFJ</t>
  </si>
  <si>
    <t>Inland thinning of Pine Island Glacier, West Antarctica</t>
  </si>
  <si>
    <t>ICE-SHEET</t>
  </si>
  <si>
    <t>The Pine island Glacier (PIG) transports 69 cubic kilometers of ice each year from similar to 10% of the West Antarctic Ice Sheet (WAIS). It is possible that a retreat of the PIG may accelerate ice discharge from the WAIS interior. Satellite altimetry and interferometry show that the grounded PIG thinned by up to 1.6 meters per year between 1992 and 1999, affecting 150 kilometers of the inland glacier. The thinning cannot be explained by short-term variability in accumulation and must result from glacier dynamics.</t>
  </si>
  <si>
    <t>UCL, Dept Space &amp; Climate Phys, Ctr Polar Observat &amp; Modelling, London WC1H 0AH, England; British Antarctic Survey, Cambridge CB3 0ET, England</t>
  </si>
  <si>
    <t>University of London; University College London; UK Research &amp; Innovation (UKRI); Natural Environment Research Council (NERC); NERC British Antarctic Survey</t>
  </si>
  <si>
    <t>UCL, Dept Space &amp; Climate Phys, Ctr Polar Observat &amp; Modelling, 17 Gordon St, London WC1H 0AH, England.</t>
  </si>
  <si>
    <t>aps@mssl.ucl.ac.uk</t>
  </si>
  <si>
    <t>Corr, Hugh/C-5398-2011</t>
  </si>
  <si>
    <t>Shepherd, Andrew/0000-0002-4914-1299</t>
  </si>
  <si>
    <t>10.1126/science.291.5505.862</t>
  </si>
  <si>
    <t>398TD</t>
  </si>
  <si>
    <t>WOS:000166771700041</t>
  </si>
  <si>
    <t>McClintock, JB; Amsler, CD; Baker, BJ</t>
  </si>
  <si>
    <t>Introduction to the symposium: Antarctic marine biology</t>
  </si>
  <si>
    <t>AMERICAN ZOOLOGIST</t>
  </si>
  <si>
    <t>Univ Alabama, Dept Biol, Birmingham, AL 35294 USA; Florida Inst Technol, Dept Chem, Melbourne, FL 32901 USA</t>
  </si>
  <si>
    <t>University of Alabama System; University of Alabama Birmingham; Florida Institute of Technology</t>
  </si>
  <si>
    <t>Univ Alabama, Dept Biol, Birmingham, AL 35294 USA.</t>
  </si>
  <si>
    <t>mcclinto@uab.edu</t>
  </si>
  <si>
    <t>Baker, Bill/N-4312-2019</t>
  </si>
  <si>
    <t>SOC INTEGRATIVE COMPARATIVE BIOLOGY</t>
  </si>
  <si>
    <t>MCLEAN</t>
  </si>
  <si>
    <t>1313 DOLLEY MADISON BLVD, NO 402, MCLEAN, VA 22101 USA</t>
  </si>
  <si>
    <t>0003-1569</t>
  </si>
  <si>
    <t>AM ZOOL</t>
  </si>
  <si>
    <t>Am. Zool.</t>
  </si>
  <si>
    <t>FEB</t>
  </si>
  <si>
    <t>10.1668/0003-1569(2001)041[0001:ITTSAM]2.0.CO;2</t>
  </si>
  <si>
    <t>498JD</t>
  </si>
  <si>
    <t>WOS:000172505600001</t>
  </si>
  <si>
    <t>Karentz, D; Bosch, I</t>
  </si>
  <si>
    <t>Influence of ozone-related increases in ultraviolet radiation on antarctic marine organisms</t>
  </si>
  <si>
    <t>Annual Meeting of the Society-for-Comparative-and-Integrative-Biology</t>
  </si>
  <si>
    <t>JAN 04-08, 2000</t>
  </si>
  <si>
    <t>Atlanta, GA</t>
  </si>
  <si>
    <t>UV-B RADIATION; CARBON FIXATION; AMINO-ACIDS; ABSORBING COMPOUNDS; EUPHAUSIA-SUPERBA; NORTHERN ANCHOVY; DNA-DAMAGE; ICE ALGAE; PHYTOPLANKTON; SOLAR</t>
  </si>
  <si>
    <t>Every spring for the past two decades, depletion of stratospheric ozone has caused increases in ultraviolet B radiation (UVB, 280-320 nm) reaching Antarctic terrestrial and aquatic habitats. Research efforts to evaluate the impact of this phenomenon have focused on phytoplankton under the assumption that ecosystem effects will most likely originate through reductions in primary productivity; however, phytoplankton do not represent the only significant component in ecosystem response to elevated UVB. Antarctic bacterioplankton are adversely affected by UVB exposure; and invertebrates and fish, particularly early developmental stages that reside in the plankton, are sensitive to UVB. There is little Information available on UV responses of larger Antarctic marine animals (e.g., birds, seals and whales). Understanding the balance between direct biological damage and species-specific potentials for UV tolerance (protection and recovery) relative to trophic dynamics and biogeochemical cycling is a crucial factor in evaluating the overall impact of ozone depletion. After more than a decade of research, much Information has been gathered about UV-photobiology in Antarctica; however, a definitive quantitative assessment of the effect of ozone depletion on the Antarctic ecosystem still eludes us. It is only obvious that ozone depletion has not had a catastrophic effect in the Antarctic region. The long-term consequences of possible subtle shifts In species composition and trophic interactions are still uncertain.</t>
  </si>
  <si>
    <t>Univ San Francisco, Dept Biol, San Francisco, CA 94117 USA; SUNY Coll Geneseo, Dept Biol, Geneseo, NY 14454 USA</t>
  </si>
  <si>
    <t>University of San Francisco; State University of New York (SUNY) System; SUNY Geneseo</t>
  </si>
  <si>
    <t>Univ San Francisco, Dept Biol, San Francisco, CA 94117 USA.</t>
  </si>
  <si>
    <t>karentzd@usfca.edu</t>
  </si>
  <si>
    <t>10.1668/0003-1569(2001)041[0003:IOORII]2.0.CO;2</t>
  </si>
  <si>
    <t>WOS:000172505600002</t>
  </si>
  <si>
    <t>Amsler, CD; McClintock, JB; Baker, BJ</t>
  </si>
  <si>
    <t>Secondary metabolites as mediators of trophic interactions among antarctic marine organisms</t>
  </si>
  <si>
    <t>SPONGE KIRKPATRICKIA-VARIALOSA; STAR PERKNASTER-FUSCUS; TUBE-FOOT RESPONSES; CHEMICAL ECOLOGY; ANTITUMOR; ALKALOIDS; MACROALGAE; EXTRACTS; DEFENSE; PIGMENT</t>
  </si>
  <si>
    <t>Secondary metabolites are widespread among lower phyla and understanding their functional role(s) in the producing organism has been under study in recent decades. Considerable progress has been made in understanding chemical ecological interactions among terrestrial organisms, and similar research in the marine realm has been initiated in recent years. Polar regions are more difficult to access and thus progress has been slower. Nevertheless, the extreme and often unique marine environments surrounding Antarctica as well as the many unusual trophic interactions in antarctic marine communities might well be expected to select for novel secondary metabolites and/or novel functional roles for secondary metabolites. Indeed, recent studies have documented novel, chemically-mediated interactions between molluscs and amphipods, between algae, urchins and anemones, and between sponges and their predators. The Porifera are the dominant phylum on the McMurdo Sound benthos, and representatives of this phylum have been shown to elaborate sea star feeding deterrents, inhibitors of fouling or infectious organisms, and metabolites which mediate predation via molt inhibition. As a result of studies on Antarctic sponges, new insights into functional roles of pigments and the ability of sponges to sequester metabolites have been gained, and a new mechanism of chemical defense has been described. Herein we describe recent results of our studies of trophic Interactions between sponges and their predators that are mediated by specific sponge secondary metabolites. Moreover, we highlight unusual chemically-mediated interactions in antarctic marine invertebrates other than sponges.</t>
  </si>
  <si>
    <t>Florida Inst Technol, Dept Chem, Melbourne, FL 32901 USA; Univ Alabama Birmingham, Dept Biol, Birmingham, AL 35294 USA</t>
  </si>
  <si>
    <t>Florida Institute of Technology; University of Alabama System; University of Alabama Birmingham</t>
  </si>
  <si>
    <t>Florida Tech, Dept Chem, 150 W Univ Blvd, Melbourne, FL 32901 USA.</t>
  </si>
  <si>
    <t>bbaker@fit.edu</t>
  </si>
  <si>
    <t>Amsler, Charles/0000-0002-4843-3759</t>
  </si>
  <si>
    <t>10.1668/0003-1569(2001)041[0017:SMAMOT]2.0.CO;2</t>
  </si>
  <si>
    <t>WOS:000172505600003</t>
  </si>
  <si>
    <t>Aronson, RB; Blake, DB</t>
  </si>
  <si>
    <t>Global climate change and the origin of modern benthic communities in Antarctica</t>
  </si>
  <si>
    <t>LA MESETA FORMATION; MESOZOIC MARINE REVOLUTION; SEYMOUR-ISLAND; SOUTHERN-OCEAN; NATICID GASTROPODS; CHEMICAL ECOLOGY; LATE EOCENE; PREDATION; EVOLUTION; SHELL</t>
  </si>
  <si>
    <t>Marine benthic communities living in shallow-water habitats (&lt; 100 m depth) in Antarctica possess characteristics reminiscent of Paleozoic marine communities and modern deep-sea communities. The absence of crabs and sharks, the limited diversity of teleosts and skates, the dominance of slow-moving invertebrates at higher trophic levels, and the occurrence of dense ophiuroid and crinoid populations indicate that skeleton-breaking predation is limited in Antarctica today, as it was worldwide during the Paleozoic and as it is in the deep sea today. The community structure of the antarctic benthos has its evolutionary roots in the Eocene. Data from fossil assemblages at Seymour Island, Antarctic Peninsula suggest that shallow-water communities were similar to communities at lower latitudes until they were affected by global cooling, which accelerated in the late Eocene to early Oligocene. That long-term cooling trend ultimately resulted in the polar climate and peculiar community structure found in Antarctica today. Declining temperatures beginning late In the Eocene are associated with the disappearance of crabs, sharks, and most teleosts. The sudden drop in predation pressure allowed dense ophiuroid and crinoid populations to appear and flourish. These late Eocene echinoderm populations exhibit low frequencies of sublethal damage (regenerating arms), demonstrating that there was little or no predation from skeleton-breaking fish and decapods. Current scenarios of global climate change include predictions of increased upwelling and consequent cooling in temperate and subtropical upwelling zones. Limited ecological evidence suggests that such cooling could disrupt trophic relationships and favor retrograde community structures in those local areas.</t>
  </si>
  <si>
    <t>Dauphin Isl Sea Lab, Dauphin Isl, AL 36528 USA; Univ S Alabama, Dept Marine Sci, Mobile, AL 36688 USA; Univ Illinois, Dept Geol, Urbana, IL 61801 USA</t>
  </si>
  <si>
    <t>Dauphin Island Sea Lab; University of South Alabama; University of Illinois System; University of Illinois Urbana-Champaign</t>
  </si>
  <si>
    <t>Dauphin Isl Sea Lab, 101 Bienville Blvd, Dauphin Isl, AL 36528 USA.</t>
  </si>
  <si>
    <t>raronson@disl.org</t>
  </si>
  <si>
    <t>Aronson, Richard/0000-0003-0383-3844</t>
  </si>
  <si>
    <t>10.1668/0003-1569(2001)041[0027:GCCATO]2.0.CO;2</t>
  </si>
  <si>
    <t>WOS:000172505600004</t>
  </si>
  <si>
    <t>Smith, RC; Baker, KS; Dierssen, HM; Stammerjohn, SE; Vernet, M</t>
  </si>
  <si>
    <t>Variability of primary production in an antarctic marine ecosystem as estimated using a multi-scale sampling strategy</t>
  </si>
  <si>
    <t>Annual Meeting of the Society-for-Comparative-and Integrative-Biology</t>
  </si>
  <si>
    <t>ATLANTA, GEORGIA</t>
  </si>
  <si>
    <t>TERM ECOLOGICAL RESEARCH; ZONE COLOR SCANNER; SEA-ICE; SOUTHERN-OCEAN; PHYTOPLANKTON BIOMASS; BIOOPTICAL PROPERTIES; CLIMATE VARIABILITY; BELLINGSHAUSEN SEAS; PENINSULA; SATELLITE</t>
  </si>
  <si>
    <t>A major objective of the multidisciplinary Palmer Long Term Ecological Research (LTER) program is to obtain a comprehensive understanding of various components of the Antarctic marine ecosystem-the assemblage of plants, animals, ocean, sea ice, and island components south of the Antarctic Convergence. Phytoplankton production plays a key role in this polar ecosystem, and factors that regulate production include those that control cell growth (light, temperature, nutrients) and those that control cell accumulation rate and hence population growth (water column stability, advection, grazing, and sinking). Several of these factors are mediated by the annual advance and retreat of sea ice. In this study, we examine the results from nearly a decade (1991-2000) of ecological research in the western Antarctic Peninsula region. We evaluate the spatial and temporal variability of phytoplankton biomass (estimated as chlorophyll-a concentration) and primary production (determined in-situ aboard ship as well as estimated from ocean color satellite data). We also present the spatial and temporal variability of sea ice extent (estimated from passive microwave satellite data). While the data record is relatively short from a long-term perspective, evidence is accumulating that statistically links the variability in sea ice to the variability in primary production. Even though this marine ecosystem displays extreme interannual variability in both phytoplankton biomass and primary production, persistent spatial patterns have been observed over the many years of study (e.g., an on to offshore gradient in biomass and a growing season characterized by episodic phytoplankton blooms). This high interannual variability at the base of the food chain influences organisms at all trophic levels.</t>
  </si>
  <si>
    <t>Univ Calif Santa Barbara, ICESS, Santa Barbara, CA 93106 USA; Univ Calif San Diego, Scripps Inst Oceanog, La Jolla, CA 92093 USA</t>
  </si>
  <si>
    <t>University of California System; University of California Santa Barbara; University of California System; University of California San Diego; Scripps Institution of Oceanography</t>
  </si>
  <si>
    <t>Smith, RC (corresponding author), Univ Calif Santa Barbara, ICESS, Santa Barbara, CA 93106 USA.</t>
  </si>
  <si>
    <t>STAMMERJOHN, SHARON/0000-0002-1697-8244</t>
  </si>
  <si>
    <t>10.1668/0003-1569(2001)041[0040:VOPPIA]2.0.CO;2</t>
  </si>
  <si>
    <t>WOS:000172505600005</t>
  </si>
  <si>
    <t>Lizotte, MP</t>
  </si>
  <si>
    <t>The contributions of sea ice algae to Antarctic marine primary production</t>
  </si>
  <si>
    <t>PHYTOPLANKTON COMMUNITY STRUCTURE; KRILL EUPHAUSIA-SUPERBA; SOUTHERN WEDDELL SEA; ROSS SEA; PACK-ICE; MICROBIAL COMMUNITIES; PARTICULATE MATTER; NITROGEN UPTAKE; ATLANTIC SECTOR; SURFACE WATERS</t>
  </si>
  <si>
    <t>The seasonally Ice-covered regions of the Southern Ocean have distinctive ecological systems due to the growth of microalgae in sea ice. Although sea Ice microalgal production is exceeded by phytoplankton production on an annual basis in most offshore regions of the Southern Ocean, blooms of sea ice algae differ considerably from the phytoplankton in terms of timing and distribution. Thus sea ice algae provide food resources for higher trophic level organisms in seasons and regions where water column biological production Is low or negligible. A flux of biogenic material from sea ice to the water column and benthos follows ice melt, and some of the algal species are known to occur in ensuing phytoplankton blooms. A review of algal species In pack ice and offshore plankton showed that dominance is common for three species: Phaeocystis antarctica, Fragilariopsis cylindrus and Fragilariopsis curta. The degree to which dominance by these species is a product of successional processes In sea Ice communities could be an important in determining their biogeochemical contribution to the Southern Ocean and their ability to seed blooms in marginal ice zones.</t>
  </si>
  <si>
    <t>Univ Wisconsin, Dept Biol &amp; Microbiol, Oshkosh, WI 54901 USA</t>
  </si>
  <si>
    <t>University of Wisconsin System</t>
  </si>
  <si>
    <t>Bigelow Lab Ocean Sci, McKown Point Rd, W Boothbay Harbor, ME 04575 USA.</t>
  </si>
  <si>
    <t>mlizotte@bigelow.org</t>
  </si>
  <si>
    <t>10.1668/0003-1569(2001)041[0057:TCOSIA]2.0.CO;2</t>
  </si>
  <si>
    <t>WOS:000172505600006</t>
  </si>
  <si>
    <t>Quetin, LB; Ross, RM</t>
  </si>
  <si>
    <t>Environmental variability and its impact on the reproductive cycle of Antarctic krill</t>
  </si>
  <si>
    <t>EUPHAUSIA-SUPERBA DANA; MEGANYCTIPHANES-NORVEGICA; OVARIAN DEVELOPMENT; SEA-ICE; CRUSTACEA; ABUNDANCE; FECUNDITY; MATURITY; LARVAE; EXTENT</t>
  </si>
  <si>
    <t>Recruitment potential in Antarctic krill in the Palmer Long-Term Ecological Research (LTER) study region west of the Antarctic Peninsula varied significantly over the 7-yr time series between January 1993 and January 1999. Timing of ovarian maturation, the percent of the population reproducing, and individual reproductive output (batch volume, embryo diameter) were measured. Indices have been developed to quantify the timing and intensity of reproduction in Antarctic krill. One finding important to estimates of population fecundity for this long-lived species is that the percent of the population reproducing can vary widely, from 10 to 98%. Each season was characterized as having delayed, average or advanced ovarian development. In this study we relate these indices to direct and indirect indicators of spring or annual food availability. The timing of the spring sea ice retreat and the extent of sea ice in the spring (September through November) appear to significantly affect the intensity and timing of reproduction in the population. Intensity of reproduction was highest under average conditions, and oocyte development fastest with conditions of a late retreat and high spring sea ice extent.</t>
  </si>
  <si>
    <t>Univ Calif Santa Barbara, Inst Marine Sci, Santa Barbara, CA 93106 USA</t>
  </si>
  <si>
    <t>University of California System; University of California Santa Barbara</t>
  </si>
  <si>
    <t>Quetin, LB (corresponding author), Univ Calif Santa Barbara, Inst Marine Sci, Santa Barbara, CA 93106 USA.</t>
  </si>
  <si>
    <t>10.1668/0003-1569(2001)041[0074:EVAIIO]2.0.CO;2</t>
  </si>
  <si>
    <t>WOS:000172505600007</t>
  </si>
  <si>
    <t>Dunton, KH</t>
  </si>
  <si>
    <t>δ15N and δ13C measurements of Antarctic peninsula fauna:: Trophic relationships and assimilation of benthic seaweeds</t>
  </si>
  <si>
    <t>FISH NOTOTHENIA CORIICEPS; FOOD WEB; EUPHAUSIA-SUPERBA; LARVAL KRILL; MARINE; CARBON; MACROALGAE; ECOLOGY; ALGAE; DIET</t>
  </si>
  <si>
    <t>Measurements of delta C-13, delta N-15, and C/N for a variety of Antarctic peninsula fauna and flora were used to quantify the importance of benthic brown algae to resident organisms and determine food web relationships among this diverse littoral fauna. delta C-13 values ranged from -16.8 parts per thousand for benthic algal herbivores (limpets) to -29.8 parts per thousand for the krill, Euphausia superba; the average pooled value for brown macroalgae, including their attached filamentous diatoms, was-20.6 parts per thousand. There was no correlation between biomass delta C-13 or delta N-15 with ON content, and consequently both 6(13)C and delta N-15 values were useful in evaluating trophic relationships. delta N-15 values of the fauna ranged from 3.1 to 12.5 parts per thousand, with lowest values recorded in suspension feeders (e.g., bryozoans) and highest values in Adelie penguins (12.5 parts per thousand) collected in 1989. The comparatively lower delta N-15 value for a Chinstrap penguin (6.9 parts per thousand) collected in 1997 is attributed to the different dietary food sources consumed by these species as reflected in their respective delta C-13 values. Significant amounts of benthic macroalgal carbon Is incorporated into the tissues of invertebrates and fishes that occupy up to four trophic levels. For many benthic and epibenthic species, including various crustaceans and molluscs, assimilation of benthic algal carbon through detrital pathways ranges from 30 to 100%. Consequently, the trophic Importance of benthic brown algae may well extend to many pelagic organisms that are key prey species for birds, fishes, and marine mammals. These data support the hypothesis that benthic seaweeeds, together with their associated epiphytic diatoms, provide an important carbon source that is readily incorporated Into Antarctic peninsula food webs.</t>
  </si>
  <si>
    <t>Dunton, KH (corresponding author), Univ Texas, Inst Marine Sci, 750 Channel View Dr, Port Aransas, TX 78373 USA.</t>
  </si>
  <si>
    <t>10.1668/0003-1569(2001)041[0099:NACMOA]2.0.CO;2</t>
  </si>
  <si>
    <t>WOS:000172505600009</t>
  </si>
  <si>
    <t>Lau, DT; Saeed-Kothe, A; Parker, SK; Detrich, HW</t>
  </si>
  <si>
    <t>Adaptive evolution of gene expression in Antarctic fishes:: Divergent transcription of the 5′-to-5′ linked adult α1- and β-globin genes of the Antarctic teleost Notothenia coriiceps is controlled by dual promoters and intergenic enhancers</t>
  </si>
  <si>
    <t>LEUCINE ZIPPER PROTEIN; LOW-TEMPERATURE; NUCLEOTIDE-SEQUENCE; FUNDULUS-HETEROCLITUS; ARABIDOPSIS-THALIANA; FACTOR NF-E2; LDH-B; FAMILY; DNA; ELEMENT</t>
  </si>
  <si>
    <t>Unlike temperate fishes, Antarctic fishes of the notothenioid suborder, whose body temperatures (-2 to +1 degreesC) conform to the Southern Ocean, must express their genomes In an extremely cold thermal regime. To determine whether these fishes have evolved compensatory adjustments that maintain efficient gene transcription at low temperatures, we have initiated studies of the cis-acting regulatory elements that control globin gene expression in the Antarctic rockcod Notothenia coriieeps and in its close relative, the temperate New Zealand black cod N. angustata (habitat temperature = +6 to +15 degreesC). The genes encoding the major alpha1 and beta globins of these fishes are tightly linked in head-to-head (5' to 5') orientation. The intergenic regions separating the globin genes in the two fishes, similar to4.3 kb in N. coriiceps and similar to3.2 kb in N. angustata, are highly similar in sequence, the major difference being the absence of a 1.1-kb, repeat-containing segment in the latter. To assess the promoter and enhancer activities of the intergenic regions, each was cloned into the luciferase-reporter vector pGL3-Basic, and the constructs were transfected into MEL cells. Upon DMSO induction of MEL cell differentiation, each of the alpha/beta -intergenic regions functioned in both orientations as erythroid-responsive transcriptional regulators. However, expression of luciferase mediated by the N. coriieeps intergene was 6-fold greater in the a orientation than that for the N. angustata intergene and 2-fold greater for the beta. The greater transcription-stimulating activity of the N. coriiceps intergene can be attributed to two enhancers composed of combinations of CAC/Sp1 and GATA motifs and located in direct repeat elements. N. angustata, which lacked repetitive structure in its intergene, contained a single copy of the enhancer. We propose that cold adaptation of globin gene expression in N. coriiceps evolved in part through duplication and refinement of critical cis-acting regulatory elements as the Southern Ocean cooled during the past 25 million years.</t>
  </si>
  <si>
    <t>Northeastern Univ, Dept Biol, Boston, MA 02115 USA</t>
  </si>
  <si>
    <t>Northeastern University</t>
  </si>
  <si>
    <t>Detrich, HW (corresponding author), Premedica, 2 Taft Court, Rockville, MD 20850 USA.</t>
  </si>
  <si>
    <t>10.1668/0003-1569(2001)041[0113:AEOGEI]2.0.CO;2</t>
  </si>
  <si>
    <t>WOS:000172505600010</t>
  </si>
  <si>
    <t>Jones, KE; Barlow, KE; Vaughan, N; Rodríguez-Durán, A; Gannon, MR</t>
  </si>
  <si>
    <t>Short-term impacts of extreme environmental disturbance on the bats of Puerto Rico</t>
  </si>
  <si>
    <t>ANIMAL CONSERVATION</t>
  </si>
  <si>
    <t>LUQUILLO EXPERIMENTAL FOREST; BIRD POPULATIONS; EXTINCTION RISK; HURRICANE HUGO; INDEPENDENT CONTRASTS; BODY-SIZE; DIVERSITY; DYNAMICS; ISLANDS; GILBERT</t>
  </si>
  <si>
    <t>The sensitivity of bat species to stochastic disturbance was investigated by exploiting the natural experiment provided by Hurricane Georges, which struck the island of Puerto Rico (Caribbean) in September 1998. Six forest habitats and three cave most sites sampled fur bats prior to the hurricane were sampled in the same way after the hurricane. Populations showed significant declines in abundance and species richness across all forest habitats sampled. Species' sensitivity to disturbance were not equal: larger species were significantly more affected by disturbance than smaller species, once the effects of phylogenetic non-independence were removed. There was some evidence that frugivorous and nectarivorous species an more affected by hurricane disturbance than insectivorous species. These findings have important implications for maintaining viable populations of species in areas that experience a high degree of environmental fluctuation.</t>
  </si>
  <si>
    <t>Univ London Imperial Coll Sci Technol &amp; Med, Dept Biol, Ascot SL5 7PY, Berks, England; British Antarctic Survey, NERC, Cambridge CB3 0ET, England; Univ Bristol, Sch Biol Sci, Bristol BS8 1UG, Avon, England; Inter Amer Univ, Dept Nat Sci, Bayamon, PR 00957 USA; Penn State Univ, Altoona Coll, Dept Biol, Altoona, PA 16601 USA</t>
  </si>
  <si>
    <t>Imperial College London; UK Research &amp; Innovation (UKRI); Natural Environment Research Council (NERC); NERC British Antarctic Survey; University of Bristol; Inter American University of Puerto Rico-San German; Pennsylvania Commonwealth System of Higher Education (PCSHE); Pennsylvania State University</t>
  </si>
  <si>
    <t>Univ Virginia, Dept Biol, 219 Gilmer Hall, Charlottesville, VA 22904 USA.</t>
  </si>
  <si>
    <t>kate.jones@virginia.edu</t>
  </si>
  <si>
    <t>Jones, Kate E/G-4768-2010; Jones, Kate/Y-3317-2019</t>
  </si>
  <si>
    <t>Jones, Kate E/0000-0001-5231-3293; Jones, Kate/0000-0001-5231-3293</t>
  </si>
  <si>
    <t>1367-9430</t>
  </si>
  <si>
    <t>1469-1795</t>
  </si>
  <si>
    <t>ANIM CONSERV</t>
  </si>
  <si>
    <t>Anim. Conserv.</t>
  </si>
  <si>
    <t>10.1017/S1367943001001068</t>
  </si>
  <si>
    <t>428QA</t>
  </si>
  <si>
    <t>WOS:000168471300006</t>
  </si>
  <si>
    <t>Bianchi, C; Chiappini, M; Tabacco, IE; Passerini, A; Zirizzotti, A; Zuccheretti, E</t>
  </si>
  <si>
    <t>Morphology of bottom surfaces of glacier ice tongues in the East Antarctic region</t>
  </si>
  <si>
    <t>During three Antarctic summer campaigns (1995/97/99) Radio Echo Sounding (RES) system data from some glacier ice tongues in the East Antarctic regions between Victoria. Land and George V Land were collected. The morphology and structure of the bottom surfaces deduced from the electromagnetic interpretation of echo signal were observed. The bottom surfaces at the ice/water interface show either irregular or flat contours or both. Some ice tongues are nearly perfectly flat, others show clear signs of irregularities while: three of them have good regular spaced rippled bottom surfaces. The latter structures are well-evident in the longitudinal traverse of the tongues, whereas the transversal paths do not show the same features. This particular shape of the bottom surfaces related to the ablation process and detachment mechanism could be interesting especially to determine some physical characteristics and the possible fracture points of the ice tongues.</t>
  </si>
  <si>
    <t>Ist Naxl Geofis &amp; Vulcanol, I-00143 Rome, Italy; Univ Milan, Sez Geofis, I-20122 Milan, Italy; Univ Milano Bicocca, Dipartimento Fis, Milan, Italy</t>
  </si>
  <si>
    <t>Istituto Nazionale Geofisica e Vulcanologia (INGV); University of Milan; University of Milano-Bicocca</t>
  </si>
  <si>
    <t>Bianchi, C (corresponding author), Ist Naxl Geofis &amp; Vulcanol, Via Vigna Murata 605, I-00143 Rome, Italy.</t>
  </si>
  <si>
    <t>436HM</t>
  </si>
  <si>
    <t>WOS:000168930500009</t>
  </si>
  <si>
    <t>Michelutti, N; Hay, MB; Marsh, P; Lesack, L; Smol, JP</t>
  </si>
  <si>
    <t>Diatom changes in Lake Sediments from the Mackenzie Delta, NWT, Canada: Paleohydrological applications</t>
  </si>
  <si>
    <t>NORTHWEST-TERRITORIES; ORGANIC-MATTER; TROPHIC STATUS; HYDROLOGY; RECONSTRUCTION; ASSEMBLAGES; TEMPERATURE; MODELS; INUVIK; INPUT</t>
  </si>
  <si>
    <t>Information on hydrological fluctuations and lake dynamics in the Mackenzie Delta in Arctic Canada is provided in a paleolimnological study of eight delta lakes. Because macrophyte production within Mackenzie Delta lakes is largely governed by the degree of river influence, estimates of past production within a lake may be used to infer past Mackenzie River influence. A diatom-based predictive model, using sub-ice winter methane concentrations as an indirect estimate of macrophyte production, was applied to fossil diatom assemblages identified in Mackenzie Delta lake sediment cores. Temporal shifts in the relative abundance of fossil diatom assemblages were recorded at all sites. Benthic and epiphytic fossil diatom taxa were common in lakes with minor river influence, whereas planktonic species dominated lakes with appreciable river connection. The fossil diatom record indicated that taxa are responding to changes in the degree of river influence and lake genesis. Lakes having the least amount of river connection supported the most favorable environment for macrophyte production, resulting in the highest sediment organic matter content, and consequently, the highest estimates of methane concentrations. Tn general, the diatom-inferred winter methane concentrations appeared to be reliable, and they indirectly track the main direction of variation in the fossil diatom assemblages. The lack of consistent trends between sites in diatom assemblage changes/inferred methane values indicates that the hydrology near Inuvik, although highly variable, has not undergone a steady-state shift over the past similar to 200 yr. However, our results do indicate that diatom taxa in delta lakes are sensitive to hydrological fluctuations in the Mackenzie River and that our present approach would be ideally suited for detecting long-term (e.g., decadal) hydrological variations.</t>
  </si>
  <si>
    <t>Queens Univ, Dept Biol, PEARL, Kingston, ON K7L 3N6, Canada; Natl Hydrol Res Inst, Saskatoon, SK S7N 3H5, Canada; Simon Fraser Univ, Dept Geog, Burnaby, BC V5A 1S6, Canada</t>
  </si>
  <si>
    <t>Queens University - Canada; Environment &amp; Climate Change Canada; National Hydrology Research Centre; Simon Fraser University</t>
  </si>
  <si>
    <t>Michelutti, N (corresponding author), Queens Univ, Dept Biol, PEARL, Kingston, ON K7L 3N6, Canada.</t>
  </si>
  <si>
    <t>michelut@biology.queensu.ca</t>
  </si>
  <si>
    <t>Smol, John P/A-8838-2015</t>
  </si>
  <si>
    <t>Hay, Murray/0000-0002-6850-8842; Smol, John/0000-0002-2499-6696</t>
  </si>
  <si>
    <t>10.2307/1552271</t>
  </si>
  <si>
    <t>409JX</t>
  </si>
  <si>
    <t>WOS:000167381500001</t>
  </si>
  <si>
    <t>Lavoie, C; Arseneault, D</t>
  </si>
  <si>
    <t>Late Holocene climate of the James Bay area, Quebec, Canada, reconstructed using fossil beetles</t>
  </si>
  <si>
    <t>EASTERN NORTH-AMERICA; SEASONAL TEMPERATURES; BOREAL FOREST; VEGETATION; TREELINE; ASSEMBLAGES; ENVIRONMENT; MACROFOSSIL; RECORDS; RANGE</t>
  </si>
  <si>
    <t>We used fossil beetles recovered from three peatlands of the James Bay area (Radisson, northern Quebec, Canada), and the mutual climatic range (MCR) method, to produce a quantitative reconstruction of summer temperatures during the last 5000 yr. Our main objective was to test the hypothesis that a significant climatic cooling episode occurred during the late Holocene epoch, leading to the opening up of the boreal forest, and to the progressive replacement of black spruce (Picea mariana) forests by jack pine (Pinus banksiana) stands. Beetle assemblages in the Radisson area were very stable during the late Holocene epoch. We used a total of 22 beetle species to conduct the MCR analyses. Reconstructed mean July temperatures ranged from 14.5 to 17.5 degreesC, which is close to the present-day (A.D. 1977-1996) temperature range found in the Radisson area. The general stability of beetle assemblages, and the MCR analyses, suggest that there was no major change in July temperatures during the last 5000 yr in the Radisson area. This study provides no evidence that the progressive replacement of black spruce forests by jack pine stands in the Radisson area during the last 2700 yr can be explained by a long-term climatic cooling episode affecting the postfire regeneration potential of trees. Consequently, an alternative hypothesis (more frequent fires favoring jack pine) should be seriously considered to explain the late Holocene changes in the forest environment of the Radisson area.</t>
  </si>
  <si>
    <t>Univ Laval, Dept Amenagement, St Foy, PQ G1K 7P4, Canada; Univ Laval, Ctr Rech Amenagement &amp; Dev, St Foy, PQ G1K 7P4, Canada; Univ Quebec, Dept Biol, Rimouski, PQ G5L 3A1, Canada; Univ Quebec, Ctr Rech Amenagement &amp; Dev, Rimouski, PQ G5L 3A1, Canada</t>
  </si>
  <si>
    <t>Laval University; Laval University; University of Quebec; University of Quebec</t>
  </si>
  <si>
    <t>Lavoie, C (corresponding author), Univ Laval, Dept Amenagement, St Foy, PQ G1K 7P4, Canada.</t>
  </si>
  <si>
    <t>lafreniere, judy/R-9281-2016; DANSOU, dossa Hyppolite/R-9367-2016; Bah, Idiatou/R-9375-2016; Bojanowski, Angelique/R-8243-2016; GAO, Jianan/R-6090-2016; Lavoie, Claude/A-1601-2011</t>
  </si>
  <si>
    <t>Lavoie, Claude/0000-0001-6510-5178</t>
  </si>
  <si>
    <t>10.2307/1552272</t>
  </si>
  <si>
    <t>WOS:000167381500002</t>
  </si>
  <si>
    <t>Pisaric, MFJ; MacDonald, GM; Cwynar, LC; Velichko, AA</t>
  </si>
  <si>
    <t>Modern pollen and conifer stomates from north-central Siberian lake sediments: Their use in interpreting late quaternary fossil pollen assemblages</t>
  </si>
  <si>
    <t>WESTERN INTERIOR; TAIMYR PENINSULA; YUKON-TERRITORY; VEGETATION; HISTORY; CANADA; AMERICA; FOREST; TUNDRA; SPECTRA</t>
  </si>
  <si>
    <t>To determine the modern relationship between pollen and stomate deposition and vegetation, surface sediments from 26 lakes along the Lena River in northeastern Siberia were analyzed for pollen and conifer stomate content. The lakes sampled, crossed a vegetation gradient from tundra, forest-tundra, to closed boreal forest. The pollen spectra of tundra lakes are dominated by Betula and Alnus. Cyperaceae and Poaceae are also abundant. Forest-tundra lakes are dominated by Betula and Alnus, but contain lower percentages of Artemisia than tundra lakes. Forest pollen spectra are also dominated by Betula and Alnus pollen, however, forest lakes contain greater percentages of Larix pollen. Principal components analysis indicates that forest and tundra sites were distinct from one another, but considerable overlap exists between forest-tundra and forest and tundra pollen assemblages. Larix stomates were abundant in all samples from regions where trees are currently present except for one lake. Small numbers of Larix stomates were found in tundra lakes, likely due to the redeposition of older material from eroding peat banks. It is likely that this process also contributed some older pollen to modern lake sediments as well. Principal components analysis was used to compare fossil samples from a lake-sediment core to the modern spectra. Early Holocene vegetation assemblages, dominated by herb and Betula shrub tundra and subsequent Larix forests, do not have modern pollen analogs in the lower Lena River region. Modem pollen analogs developed after 6 ka BP, when forest vegetation developed around the site. This was gradually replaced by modern tundra after 3.5 ka BP.</t>
  </si>
  <si>
    <t>Queens Univ, Dept Geog, Kingston, ON K7L 3N6, Canada; Univ Calif Los Angeles, Dept Geog &amp; Organism Biol Ecol &amp; Evolut, Los Angeles, CA 90095 USA; Univ New Brunswick, Dept Biol, Fredericton, NB E3B 6E1, Canada; Russian Acad Sci, Inst Geog, Moscow 109017, Russia</t>
  </si>
  <si>
    <t>Queens University - Canada; University of California System; University of California Los Angeles; University of New Brunswick; Russian Academy of Sciences; Institute of Geography, Russian Academy of Sciences</t>
  </si>
  <si>
    <t>Queens Univ, Dept Geog, Kingston, ON K7L 3N6, Canada.</t>
  </si>
  <si>
    <t>6mfjp@qlink.queensu.ca</t>
  </si>
  <si>
    <t>Cwynar, Les C/I-4214-2012</t>
  </si>
  <si>
    <t>Pisaric, Michael/0000-0003-3806-8986</t>
  </si>
  <si>
    <t>10.2307/1552273</t>
  </si>
  <si>
    <t>WOS:000167381500003</t>
  </si>
  <si>
    <t>Andreev, AA; Peteet, DM; Tarasov, PE; Romanenko, FA; Filimonova, LV; Sulerzhitsky, LD</t>
  </si>
  <si>
    <t>Late Pleistocene interstadial environment on Faddeyevskiy Island, East-Siberian sea, Russia</t>
  </si>
  <si>
    <t>VEGETATION</t>
  </si>
  <si>
    <t>Pollen, plant macrofossil, loss-on-ignition and radiocarbon analyses of a 1.4-m section in thermokarst topography from Faddeyevskiy Island (75 degrees 20'N, 143 degrees 50'E, 30 m elevation) provides new information on Late Pleistocene interstadial environmental history of this high Arctic region. Conventional radiocarbon dates (25,700 +/- 1000, 32,780 +/- 500, 35,200 +/- 650 yr BP) and two AMS dates (29,950 +/- 660 and 42,990 +/- 1280 yr BP) indicate that the deposits accumulated during the Kargian (Boutellier) interval. Numerous mammoth (Mammuthus primigenius) remains that have been collected in vicinity of the site in this study were radiocarbon dated to 36,700-18,500 yr BP. Rare bison (Bison priscus) bones were dated to 32,200 +/- 600 and 33,100 +/- 320 yr BP. Poaceae, Cyperaceae, and Artemisia pollen dominate the spectra with some Ranunculaceae, Caryophyllaceae, Rosaceae, and Asteraceae. The pollen spectra reflect steppe-like (tundra-steppe) vegetation, which was dominant on the exposed shelf of the Arctic Ocean. Numerous Carex macrofossils suggest that the summer climate was at least 2 degreesC warmer than today. The productivity of the local vegetation during the Kargian interstadial was high enough to feed the population of grazing mammals.</t>
  </si>
  <si>
    <t>NASA, Goddard Inst Space Studies, New York, NY 10025 USA; Russian Acad Sci, Inst Geog, Moscow 109017, Russia; Columbia Univ, Lamont Doherty Earth Observ, Palisades, NY 10964 USA; Moscow MV Lomonosov State Univ, Dept Geog, Moscow 119899, Russia; Russian Acad Sci, Inst Biol, Petrozavodsk 185610, Russia; Russian Acad Sci, Inst Geol, Moscow 109017, Russia</t>
  </si>
  <si>
    <t>National Aeronautics &amp; Space Administration (NASA); NASA Goddard Space Flight Center; Goddard Institute for Space Studies; Russian Academy of Sciences; Institute of Geography, Russian Academy of Sciences; Columbia University; Lomonosov Moscow State University; Russian Academy of Sciences; Karelian Research Centre of the Russian Academy of Sciences; Institute of Biology of Karelian Research Centre RAS; Geological Institute, Russian Academy of Sciences; Russian Academy of Sciences</t>
  </si>
  <si>
    <t>Andreev, AA (corresponding author), Alfred Wegener Inst Polar &amp; Meeresforsch, Forsch Stelle Potsdam, Telegrafenberg A43, D-14473 Potsdam, Germany.</t>
  </si>
  <si>
    <t>Andreev, Andrei A/J-2701-2015; Tarasov, Pavel/ABG-3993-2020; Filimonova, Ludmila V/J-8248-2018; filimonova, ludmila/U-1738-2019</t>
  </si>
  <si>
    <t>Andreev, Andrei A/0000-0002-8745-9636; Tarasov, Pavel/0000-0002-7219-5009;</t>
  </si>
  <si>
    <t>10.2307/1552274</t>
  </si>
  <si>
    <t>WOS:000167381500004</t>
  </si>
  <si>
    <t>Ziaja, W</t>
  </si>
  <si>
    <t>Glacial recession in Sorkappland and central Nordenskioldland, Spitsbergen, Svalbard, during the 20th century</t>
  </si>
  <si>
    <t>Major deglaciation on Spitsbergen has occurred as a result of climate warming since the beginning of the 20th century following the end of the Little Ice Age. The areal extent of glaciers has decreased by ca. 18% in Sorkappland between 1936 and 1991, and by ca. 44% in the Lindstromfjellet-Haberget-Habergnuten ridge region, a mountainous massif of Nordenskioldland, between 1936 and 1995. Recession of glaciers has been accompanied by a decrease in thickness up to 50 m for almost all glaciers since 1936. The equilibrium-line altitude has risen by 100 to 200 m in Sorkappland and by at least 150 m in central Nordenskioldland. Deglaciation in central Nordenskioldland is more than twice that in Sorkappland during the 20th century, which suggests that central Spitsbergen is more sensitive to global warming than is southern Spitsbergen. Spitsbergen's proximity to maritime air masses is probably a more important control for rate of glacial recession than is elevation above sea level or high latitude.</t>
  </si>
  <si>
    <t>Jagiellonian Univ, Inst Geog, PL-31044 Krakow, Poland</t>
  </si>
  <si>
    <t>Jagiellonian University</t>
  </si>
  <si>
    <t>Ziaja, W (corresponding author), Jagiellonian Univ, Inst Geog, Ul Grodzka 64, PL-31044 Krakow, Poland.</t>
  </si>
  <si>
    <t>Ziaja, Wieslaw/0000-0003-1087-736X</t>
  </si>
  <si>
    <t>10.2307/1552275</t>
  </si>
  <si>
    <t>WOS:000167381500005</t>
  </si>
  <si>
    <t>Müller, T; Leya, T; Fuhr, G</t>
  </si>
  <si>
    <t>Persistent snow algal fields in spitsbergen:: Field observations and a hypothesis about the annual cell circulation</t>
  </si>
  <si>
    <t>WINDMILL ISLANDS; CONTINENTAL ANTARCTICA; ULTRAVIOLET-RADIATION; CHLOROPHYTA; VOLVOCALES; SVALBARD</t>
  </si>
  <si>
    <t>In four expeditions to the northwest coast of Spitsbergen (1995-1998) we have searched for yearly stationary snow algal fields and found them mostly near bird colonies on steep snow slopes. In this report, a hypothesis about the redispersion of snow algae on steep snow slopes typical for this coast region is given. Two points are of importance: first, motile cells are restricted to a small part of the snowfield near the drop edge on the top, and second, resting cells from previous year deep under the snow play a subordinate role. Resting cells dispersed onto snowfields located higher in the mountains are of special importance for next years algal blooming. In the early summer, meltwater streams concentrate cells of these fields in the upper part of the snow slope below the drop edge. Algal proliferation begins here and locally cell concentration can be very high (about &gt;2 x 10(6) cells ml(-1)) and color the ice clumps deep green. The cell distribution in these wet snow/ice crystals is not uniform. Later in the season as the ground ice is exposed another bloom may form from the previous year's resting cells. Field samples of green, light yellow/red, and orange-rid cells derived from the same location are analyzed by light and transmission electron microscopy.</t>
  </si>
  <si>
    <t>Humboldt Univ, Inst Biol, Lehrstuhl Membranphysiol, D-10115 Berlin, Germany</t>
  </si>
  <si>
    <t>Humboldt University of Berlin</t>
  </si>
  <si>
    <t>Fuhr, G (corresponding author), Humboldt Univ, Inst Biol, Lehrstuhl Membranphysiol, Invalidenstr 42, D-10115 Berlin, Germany.</t>
  </si>
  <si>
    <t>10.2307/1552276</t>
  </si>
  <si>
    <t>WOS:000167381500006</t>
  </si>
  <si>
    <t>Syvitski, JPM; Stein, AB; Andrews, JT; Milliman, JD</t>
  </si>
  <si>
    <t>Icebergs and the sea floor of the East Greenland (Kangerlussuaq) continental margin</t>
  </si>
  <si>
    <t>SCORESBY SUND; SHELF; SEDIMENTATION; ATLANTIC; FJORDS</t>
  </si>
  <si>
    <t>The Kangerlussuaq margin is well furrowed by icebergs. The margin favors furrow preservation since sedimentation on the continental shelf is low, at least since the last (Flakkerhuk) glaciation and because shelf depths are well below wave base. While furrows are common in the Kangerlussuaq region, the icebergs that created the larger furrows are mostly absent. Fresh iceberg furrows are observed only on the bathymetric highs surrounding the 750-m-deep Kangerlussuaq Trough. Bathymetric barriers around the trough prevent icebergs with deep keels from entering the trough. Enormous and weathered (older) furrows are located inside the protected trough, apparently formed at paleocalving ice sheet termini, when the Greenland Ice Sheet extended onto the shelf. In the deeper sections of Kangerlussuaq Trough, Holocene mud is presently burying these older iceberg furrows. Paleocalving ice sheet margins, possibly from Iceland, account for muted furrows found on the upper continental slope of East Greenland. No sediment has been deposited over these hardground sites since 14,750 +/- 720 BP.</t>
  </si>
  <si>
    <t>Univ Colorado, Inst Arctic &amp; Alpine Res, Boulder, CO 80309 USA; Coll William &amp; Mary, Virginia Inst Marine Sci, Williamsburg, VA 23185 USA</t>
  </si>
  <si>
    <t>University of Colorado System; University of Colorado Boulder; William &amp; Mary; Virginia Institute of Marine Science</t>
  </si>
  <si>
    <t>Syvitski, JPM (corresponding author), Univ Colorado, Inst Arctic &amp; Alpine Res, Boulder, CO 80309 USA.</t>
  </si>
  <si>
    <t>Syvitski, James P M/L-2008-2013</t>
  </si>
  <si>
    <t>10.2307/1552277</t>
  </si>
  <si>
    <t>WOS:000167381500007</t>
  </si>
  <si>
    <t>Clark, ID; Lauriol, B; Harwood, L; Marschner, M</t>
  </si>
  <si>
    <t>Groundwater contributions to discharge in a permafrost setting, Big Fish River, NWT, Canada</t>
  </si>
  <si>
    <t>NORTHERN YUKON; VEGETATION; HISTORY</t>
  </si>
  <si>
    <t>Groundwaters, surface runoff and river discharge have been studied at the Fish Hole area of the Big Fish River catchment, near Aklavik, N.W.T., to quantify the seasonal variations in groundwater contributions to baseflow in a permafrost basin. Geochemical and isotope methods are used to distinguish three principal water types: (1) subpermafrost Na-Cl thermal waters (16 degreesC) discharging from bedrock along the river, (2) shallow, Ca-SO4 groundwaters, and (3) low-salinity, Ca-HCO3, suprapermafrost drainage. Cl and SO4 concentrations in river water show that baseflow is largely derived from groundwater sources (Na-CI and CaSO4 components), with less than 30% contributed from surface water runoff in any season. Thermal groundwaters discharge year-round at a calculated 1.6 m(3) s(-1). The shallow, Ca-SO4 groundwater is the dominant component of baseflow in summer but is absent in winter baseflow. Discharge analysis based on a single flow measurement (25.5 m(3) s(-1) in June, 1997) and Cl-dilution allows calculation of total river discharge. This is shown to vary from a low of 2.2 m(3) s(-1) in the winter, to 1050 m(3) s(-1) during early spring melt.</t>
  </si>
  <si>
    <t>Univ Ottawa, Ottawa Carleton Geosci Ctr, Dept Earth Sci, Ottawa, ON K1N 6N5, Canada; Univ Ottawa, Ottawa Carleton Geosci Ctr, Dept Geog, Ottawa, ON K1N 6N5, Canada; Dept Fisheries &amp; Oceans Arctic Sci Stock Assessme, Inuvik, NT, Canada</t>
  </si>
  <si>
    <t>University of Ottawa; University of Ottawa; Fisheries &amp; Oceans Canada</t>
  </si>
  <si>
    <t>Clark, ID (corresponding author), Univ Ottawa, Ottawa Carleton Geosci Ctr, Dept Earth Sci, Ottawa, ON K1N 6N5, Canada.</t>
  </si>
  <si>
    <t>Harwood, Lois/U-9143-2019</t>
  </si>
  <si>
    <t>10.2307/1552278</t>
  </si>
  <si>
    <t>WOS:000167381500008</t>
  </si>
  <si>
    <t>Beilman, DW; Vitt, DH; Halsey, LA</t>
  </si>
  <si>
    <t>Localized permafrost Peatlands in Western Canada: Definition, distributions, and degradation</t>
  </si>
  <si>
    <t>CLIMATE-CHANGE; PATTERNS; HOLOCENE; DISEQUILIBRIUM; MANITOBA; GROWTH; BOGS</t>
  </si>
  <si>
    <t>Detailed inventory of peatlands by aerial photography shows that peatlands with climatically sensitive localized islands of permafrost cover 17,505 km(2) within a broad band of occurrence in continental western Canada (Alberta, Saskatchewan, and Manitoba). Within this zone, 37.5% of the total area covered by bog, and 9.1% of total area covered by fen have localized permafrost Iandforms (frost mounds and/or internal lawns). Regional distribution of the presence/absence of localized permafrost peatlands relative to expansive pear plateaus (peatland completely underlain by permafrost) shows that a north to south landform gradient exists that is dominantly controlled by mean annual temperature. Percent cover of localized permafrost peatland in an area is best explained by the amount of total peatland cover that can support it. Localized permafrost is associated with collapse forms (internal lawns) throughout the range of its occurrence in western Canada. In some locations permafrost has completely melted, moving the current southern limit of permafrost north by 39 km on average, and by as much as 200 km.</t>
  </si>
  <si>
    <t>Univ Alberta, Dept Biol Sci, Edmonton, AB T6G 2E9, Canada</t>
  </si>
  <si>
    <t>Beilman, DW (corresponding author), Univ Alberta, Dept Biol Sci, Edmonton, AB T6G 2E9, Canada.</t>
  </si>
  <si>
    <t>10.2307/1552279</t>
  </si>
  <si>
    <t>WOS:000167381500009</t>
  </si>
  <si>
    <t>Munroe, JS; Bockheim, JG</t>
  </si>
  <si>
    <t>Soil development in low-arctic tundra of the northern Brooks Range, Alaska, USA</t>
  </si>
  <si>
    <t>BAFFIN ISLAND; RELATIVE AGE; CRYOTURBATION; PENINSULA; CANADA; NWT</t>
  </si>
  <si>
    <t>Thirty-six Gelisols were investigated in the vicinity of Galbraith Lake and Toolik Lake (68 degrees 30'N, 149 degrees 30'W) in northern Alaska. The soils formed on surfaces previously interpreted as ranging from similar to 110 ka BP to late Holocene in age. Sixteen of the profiles (44%) contained evidence of cryoturbation and were classified as Turbels, while the others were classified as Orthels. While most of the Orthels are developed in coarse-textured outwash, all of the Turbels are restricted to fine-grained till and colluvium with ice-rich permafrost. There were no significant differences in profile quantities of weathering products, such as H(+) ion, clay, silt, silt-plus-clay, and loss on ignition, between Orthels and Turbels. However, there were significant or nearly significant differences in profile quantities of H(+) ion, silt, and silt-plus-clay as a function of age, with the lowest values in Holocene soils, intermediate values for the two younger drifts, and greater values for the oldest surface. A key finding of this study is that despite pervasive cryoturbation, soil properties can be used to determine relative age in the Low Arctic. Our results confirm previous age estimates that Itkillik II surfaces are of late Wisconsin age, with Itkillik I surfaces being somewhat older.</t>
  </si>
  <si>
    <t>Univ Wisconsin, Dept Geol &amp; Geophys, Madison, WI 53706 USA; Univ Wisconsin, Dept Soil Sci, Madison, WI 53706 USA</t>
  </si>
  <si>
    <t>University of Wisconsin System; University of Wisconsin Madison; University of Wisconsin System; University of Wisconsin Madison</t>
  </si>
  <si>
    <t>Munroe, JS (corresponding author), Univ Wisconsin, Dept Geol &amp; Geophys, 1215 W Dayton St, Madison, WI 53706 USA.</t>
  </si>
  <si>
    <t>jmunroe@geology.wisc.edu</t>
  </si>
  <si>
    <t>10.2307/1552280</t>
  </si>
  <si>
    <t>WOS:000167381500010</t>
  </si>
  <si>
    <t>Karlsson, PS; Weih, M</t>
  </si>
  <si>
    <t>Soil temperatures near the distribution limit of the mountain birch (Betula pubescens ssp czerepanovii):: Implications for seedling nitrogen economy and survival</t>
  </si>
  <si>
    <t>GROWTH; TREELINE; ROOTS; ESTABLISHMENT; ECOSYSTEMS; RESPONSES; CARBON; PLANTS; TUNDRA</t>
  </si>
  <si>
    <t>This paper (1) describes soil temperature conditions in an area close to the altitudinal and latitudinal distribution Limit of the mountain birch, and (2) evaluates whether soil temperature is likely to impose a limit on nitrogen uptake and subsequent reductions in growth and survival. Soil temperature was monitored at two depths (-5 and -10 cm) during 3 yr in forested and nearby nonforested sites both at low altitude (ca. 400 m) and at forest line (ca. 650 m) in the Tornetrask area, northern Swedish Lapland (68 degrees 21'N, 18 degrees 49'E). The mean summer soil temperature was ca. +6 to +7 degreesC and +5 to +7 degreesC at -5 and -10 cm, respectively. Forest-line soils were on average 0.8 degreesC warmer than valley soils. We found no statistically significant differences in soil temperature between sites colonized by mountain birch and nearby nonforested habitats. Given present soil temperatures, there is thus no reason why (mature) trees should not survive also on alpine and subalpine heaths currently not colonized by birch. However, relating these temperature recordings to experimentally determined relationships between soil temperature and seedling nitrogen (N) uptake, and between N uptake and survival, indicates that the mountain birch seedlings are unlikely to survive their first winter under soil temperature conditions normally prevailing in this area. Our analysis suggests that successful seedling establishment can be expected on disturbed sites when the growing season (15 June to 15 August) mean soil temperature is ca. 12 degreesC or higher. In comparison, growing season soil temperature under undisturbed vegetation (at -5 cm) was on average ca 8.2 degreesC during our 3 yr of soil temperature measurements. Air temperature during the same period was 1.1 degreesC warmer than the average for the last 86 yr (1913-1998, 11.0 versus 9.9 degreesC).</t>
  </si>
  <si>
    <t>Royal Swedish Acad Sci, Abisko Sci Res Stn, SE-98107 Abisko, Sweden; Uppsala Univ, Dept Plant Ecol, SE-75236 Uppsala, Sweden</t>
  </si>
  <si>
    <t>Royal Swedish Academy of Sciences; Uppsala University</t>
  </si>
  <si>
    <t>Karlsson, PS (corresponding author), Royal Swedish Acad Sci, Abisko Sci Res Stn, SE-98107 Abisko, Sweden.</t>
  </si>
  <si>
    <t>staffan.karlsson@vaxtbio.uu.se</t>
  </si>
  <si>
    <t>Karlsson, Staffan/J-3082-2012; Weih, Martin/H-5093-2011</t>
  </si>
  <si>
    <t>Karlsson, Staffan/0000-0002-5739-5213; Weih, Martin/0000-0003-3823-9183</t>
  </si>
  <si>
    <t>10.2307/1552281</t>
  </si>
  <si>
    <t>WOS:000167381500011</t>
  </si>
  <si>
    <t>Luzar, N</t>
  </si>
  <si>
    <t>Flower heliotropism and floral heating of five alpine plant species and the effect on flower visiting in Ranunculus montanus in the Austrian Alps</t>
  </si>
  <si>
    <t>INSECT VISITATION; POLLINATION; TEMPERATURE; RATES; INFLORESCENCES; RESPIRATION; PHENOLOGY; ECOLOGY</t>
  </si>
  <si>
    <t>During the growing seasons in 1994 and 1995 flower heliotropism and its effects on floral biology of several plants in the Grossglockner region (Salzburg, Austria) at 2230-2340 m a.s.l. was investigated. Ranunculus montanus, R. alpestris, Pulsatilla alpina, Callianthemum coriandrifolium (Ranunculaceae), and Leucanthemopsis alpina (Asteraceae) all have bowl and disc flowers (or inflorescences) that are heliotropic during periods of direct solar radiation. Temperatures of the air inside the flowers were above those of the ambient air for all five species. The maxims of excess temperature (means of 10 flowers or inflorescences) were between 2.0 degreesC (C. coriandrifolium) and 6.2 degreesC (P. alpina). Comparative temperature measurements in flowers of R. montanus showed that during sunny or slightly cloudy periods the air within those having uninhibited heliotropic movements was on average 0.7 degreesC (in individual cases up to 1.3 degreesC) warmer than in flowers fixed to face north. For the self-incompatible R. montanus, heliotropism affected the frequency and residence time of flower visitors: unimpeded heliotropic flowers were more attractive and so were visited longer and more often by insects than those oriented away from the sun.</t>
  </si>
  <si>
    <t>Univ Ulm, Abt Systemat Bot &amp; Okol, D-89081 Ulm, Germany; Univ Giessen, Inst Pflanzenokol, D-35392 Giessen, Germany</t>
  </si>
  <si>
    <t>Ulm University; Justus Liebig University Giessen</t>
  </si>
  <si>
    <t>Univ Ulm, Abt Systemat Bot &amp; Okol, Albert Einstein Allee 11, D-89081 Ulm, Germany.</t>
  </si>
  <si>
    <t>gerhard.gottsberger@biologie.uni-ulm.de</t>
  </si>
  <si>
    <t>10.2307/1552282</t>
  </si>
  <si>
    <t>WOS:000167381500012</t>
  </si>
  <si>
    <t>Seastedt, TR; Vaccaro, L</t>
  </si>
  <si>
    <t>Plant species richness, productivity, and nitrogen and phosphorus limitations across a snowpack gradient in Alpine Tundra, Colorado, USA</t>
  </si>
  <si>
    <t>NUTRIENT AVAILABILITY; COMMUNITIES; DIVERSITY</t>
  </si>
  <si>
    <t>The extent to which nutrient limitation affects species composition, abundance, and productivity of the alpine tundra is an ongoing area of ecological inquiry. At Niwot Ridge in the Front Range of Colorado, plant species richness and foliage production were studied with respect to N and P additions in three alpine communities varying in snowpack depth and duration. These effects were also measured in conjunction with a snowpack enhancement experiment. Measurements of plant responses were made 4 yr following the initiation of the manipulations. The addition of either N or P enhanced plant foliage productivity (P = 0.05 and P = 0.03, respectively). Nitrogen additions had a negative effect on the species richness censused in 1-m(2) plots (P &lt; 0.001), while P additions had no effect on species richness (P &gt; 0.60). Snowpack did not affect foliage productivity (P = 0.20), but species richness was negatively affected (P &lt; 0.001). Snowpack also appeared to mediate species-specific responses to N and P additions. In the alpine, the relationship between species diversity and plant productivity is mediated by species-specific traits. After 4 yr, the increased production by plant species sensitive to P additions did not reduce species richness. This suggests that production-induced competitive exclusion is not a generalization that can be used to explain the decline in species richness. Moreover, the reduction in species richness due to N addition occurred across all of the tundra communities studied here. These communities differ with respect to the strength of other potential limiting resources such as light (self-shading) or water. Thus, this negative response is best explained by changes in soil chemistry that resulted directly or indirectly from N additions.</t>
  </si>
  <si>
    <t>Univ Colorado, Dept Environm Populat &amp; Organism Biol, Boulder, CO 80309 USA; Univ Colorado, Inst Arctic &amp; Alpine Res, Boulder, CO 80309 USA</t>
  </si>
  <si>
    <t>University of Colorado System; University of Colorado Boulder; University of Colorado System; University of Colorado Boulder</t>
  </si>
  <si>
    <t>Seastedt, TR (corresponding author), Univ Colorado, Dept Environm Populat &amp; Organism Biol, Boulder, CO 80309 USA.</t>
  </si>
  <si>
    <t>Seastedt, Tim/AAG-1100-2019</t>
  </si>
  <si>
    <t>10.2307/1552283</t>
  </si>
  <si>
    <t>WOS:000167381500013</t>
  </si>
  <si>
    <t>McCarthy, DP; Zaniewski, K</t>
  </si>
  <si>
    <t>Digital analysis of lichen cover: A technique for use in lichenometry and lichenology</t>
  </si>
  <si>
    <t>CANADIAN CORDILLERA; PLANT COVER</t>
  </si>
  <si>
    <t>Image analysis software was used to obtain various measures of thalli in crustose lichen communities. Lichens growing on flat-faced quartzite boulders in two glacier forefields were photographed and the images were transferred to a computer. Barren rock was digitally removed using Adobe Photoshop and Idrisi geographic information system (GIS) software was used to measure thallus size, perimeter, compactness, and total lichenized area. Replicate analyses show that the technique produces reproducible results that allow a user to distinguish very small differences in lichen coverage and obtain other quantitative measures of a lichen population. The technique is suitable for use with smooth, evenly illuminated surfaces where there are clear color differences between the various lichens and the substrate is a uniform color. Excellent results can be obtained using a 35 mm film camera, inexpensive flash units, a film or print scanner and DOS based versions of Idrisi that permit batch processing of images. The technique can be used to examine lichen colonization patterns and explore new approaches in lichenometric dating.</t>
  </si>
  <si>
    <t>Brock Univ, Dept Earth Sci, St Catharines, ON L2S 3A1, Canada; Univ Amsterdam, Phys Geog &amp; Soil Sci Dept, NL-1018 VZ Amsterdam, Netherlands</t>
  </si>
  <si>
    <t>Brock University; University of Amsterdam</t>
  </si>
  <si>
    <t>McCarthy, DP (corresponding author), Brock Univ, Dept Earth Sci, St Catharines, ON L2S 3A1, Canada.</t>
  </si>
  <si>
    <t>10.2307/1552284</t>
  </si>
  <si>
    <t>WOS:000167381500014</t>
  </si>
  <si>
    <t>Zielinski, S; Sartoris, FJ; Pörtner, HO</t>
  </si>
  <si>
    <t>Temperature effects on hemocyanin oxygen binding in an Antarctic cephalopod</t>
  </si>
  <si>
    <t>BIOLOGICAL BULLETIN</t>
  </si>
  <si>
    <t>OCTOPUS-DOFLEINI HEMOCYANIN; OXIDATIVE-METABOLISM; DECAPOD CRUSTACEANS; SEPIA-OFFICINALIS; LOLIGO-PEALEI; BLOOD; SQUID; DEPENDENCE; PH; PERFORMANCE</t>
  </si>
  <si>
    <t>The functional relevance of oxygen transport by hemocyanin of the Antarctic octopod Megaleledone senoi and of the eurythermal cuttlefish Sepia officinalis was analyzed by continuous and simultaneous recordings of changes in pH and hemocyanin oxygen saturation in whole blood at various temperatures. These data were compared to literature data on other temperate and cold-water cephalopods (octopods and giant squid). In S. officinalis, the oxygen affinity of hemocyanin changed at DeltaP(50)/degreesC = 0.12 kPa (pH 7.4) with increasing temperatures; this is similar to observations in temperate octopods. In M. senoi, thermal sensitivity was much smaller (&lt;0.01 kPa, pH 7.2). Furthermore, M. senoi hemocyanin displayed one of the highest levels of oxygen affinity (P-50 &lt; 1 kPa, pH 7.6, 0 degreesC) found so far in cephalopods and a rather low cooperativity (n(50) = 1.4 at 0 degreesC). The pH sensitivity of oxygen binding (Delta log P-50/Delta pH) increased with increasing temperature in both the cuttlefish and the Antarctic octopod. At low Po-2 (1.0 kPa) and pH (7.2), the presence of a large venous oxygen reserve (43% saturation) insensitive to pH reflects reduced pH sensitivity and high oxygen affinity in M. senoi hemocyanin at 0 OC. In S. officinalis, this reserve was 19% at pH 7.4, 20 degreesC, and 1.7 kPa O-2, a level still higher than in squid. These findings suggest that the lower metabolic rate of octopods and cuttlefish compared to squid is reflected in less pH-dependent oxygen transport. Results of the hemocyanin analysis for the Antarctic octopod were similar to those reported for Vampyroteuthis-an extremely high oxygen affinity supporting a very low metabolic rate. In contrast to findings in cold-adapted giant squid, the minimized thermal sensitivity of oxygen transport in Antarctic octopods will reduce metabolic scope and thereby contribute to their stenothermality.</t>
  </si>
  <si>
    <t>Alfred Wegener Inst Marine &amp; Polar Res Ecophysiol, D-27568 Bremerhaven, Germany</t>
  </si>
  <si>
    <t>Pörtner, Hans-O./0000-0001-6535-6575; Sartoris, Franz-Josef/0000-0001-7228-3220</t>
  </si>
  <si>
    <t>0006-3185</t>
  </si>
  <si>
    <t>1939-8697</t>
  </si>
  <si>
    <t>BIOL BULL-US</t>
  </si>
  <si>
    <t>Biol. Bull.</t>
  </si>
  <si>
    <t>10.2307/1543086</t>
  </si>
  <si>
    <t>Biology; Marine &amp; Freshwater Biology</t>
  </si>
  <si>
    <t>Life Sciences &amp; Biomedicine - Other Topics; Marine &amp; Freshwater Biology</t>
  </si>
  <si>
    <t>407FQ</t>
  </si>
  <si>
    <t>Green Accepted, Green Submitted</t>
  </si>
  <si>
    <t>WOS:000167261900007</t>
  </si>
  <si>
    <t>Perissinotto, R; Mayzaud, P; Labat, JP; Razouls, S</t>
  </si>
  <si>
    <t>Grazing dynamics of Euphausia spinifera in the region of the Subtropical Convergence and the Agulhas Front</t>
  </si>
  <si>
    <t>CANADIAN JOURNAL OF FISHERIES AND AQUATIC SCIENCES</t>
  </si>
  <si>
    <t>COPEPOD ACARTIA-CLAUSI; MARGINAL ICE-ZONE; ANTARCTIC KRILL; SOUTHERN-OCEAN; PIGMENT DESTRUCTION; GUT CLEARANCE; SUPERBA; PHYTOPLANKTON; SUMMER; ZOOPLANKTON</t>
  </si>
  <si>
    <t>The feeding ecophysiology of the subtropical euphausiid Euphausia spinifera was investigated in the Indian sector of the Southern Ocean during January-February 1999. Gut pigment levels varied from 1.7 to 40.6 ng chlorophyll a (Chl a) equiv..individual(-1) in adults and from 0.3 to 9.3 ng Chl a equiv..individual(-1) in juveniles. Highest levels were observed at the Subtropical Convergence (Chl a concentrations 0.4-0.6 mug.L-1) and minima in the area north of the Agulhas Front (Chl a concentrations 0.2-0.3 mug.L-1). Gut evacuation rates ranged between 0.59 and 0.96.h(-1). Gut pigment destruction levels were among the highest ever recorded in euphausiids, with 94.2-98.5% of total pigments ingested converted to nonfluorescing end products. Size-selectivity experiments with natural phytoplankton showed that E. spinifera ingests mainly cells in the 0.7- to 20-mum range. The grazing dynamics of this important species are compared with those of subantarctic (Euphausia vallentini) and Antarctic krill (Euphausia superba). Individual ingestion rates, estimated from the autotrophic component of its diet (2.78-4.46 mug Chl a equiv..individual(-1).day(-1)), were just sufficient to account for respiratory requirements. While E. spinifera is clearly able to ingest large amounts of heterotrophic prey, it is not known to what extent these contribute to its total energy budget.</t>
  </si>
  <si>
    <t>Univ Natal, Sch Life &amp; Environm Sci, ZA-4041 Durban, South Africa; Observ Oceanol Oceanog Biochim &amp; Ecol, CNRS, ESA, F-06230 Villefranche Sur Mer, France; Observ Oceanol, F-66651 Banyuls sur Mer, France</t>
  </si>
  <si>
    <t>University of Kwazulu Natal; Centre National de la Recherche Scientifique (CNRS); Sorbonne Universite</t>
  </si>
  <si>
    <t>Univ Natal, Sch Life &amp; Environm Sci, G Campbell Bldg, ZA-4041 Durban, South Africa.</t>
  </si>
  <si>
    <t>renzo@biology.und.ac.za</t>
  </si>
  <si>
    <t>0706-652X</t>
  </si>
  <si>
    <t>1205-7533</t>
  </si>
  <si>
    <t>CAN J FISH AQUAT SCI</t>
  </si>
  <si>
    <t>Can. J. Fish. Aquat. Sci.</t>
  </si>
  <si>
    <t>10.1139/cjfas-58-2-273</t>
  </si>
  <si>
    <t>399WR</t>
  </si>
  <si>
    <t>WOS:000166837700005</t>
  </si>
  <si>
    <t>Liang, XZ; Wang, WC; Samel, AN</t>
  </si>
  <si>
    <t>Biases in AMIP model simulations of the east China monsoon system</t>
  </si>
  <si>
    <t>GENERAL-CIRCULATION MODEL; COMMUNITY-CLIMATE-MODEL; INTERCOMPARISON PROJECT; PRECIPITATION; VARIABILITY; RAINFALL; GCM; ASSOCIATIONS; ATMOSPHERE</t>
  </si>
  <si>
    <t>AMIP model simulations of the east China (5-50 degreesN; 105-122 degreesE) monsoon system are analyzed to study coherent relationships between rainfall and wind annual cycle biases. A comparison with observed interannual variability patterns is carried out to identify the physical processes that explain the biases. The analyses show that poleward displacement of the simulated east Asian jet stream causes the ascending branch of the jet-induced transverse circulation to move north and, as a consequence, produces negative (positive) rainfall biases occur in central (northeast) China. The model simulations show decreased southwesterly flow and ITCZ rainfall over the South China Sea when weaker (versus observations) summer Hadley and Walker circulations are present. This results from diminished model tropical disturbance activity, and highlights the importance of air-sea interactions. In addition, during October-January, intensified model low-level easterlies enhance moisture transport and produce positive local rainfall biases over central and northeast China. Biases in the east China monsoon system are concurrently reflected in the planetary circulation. Enhanced northeast China rainfall results from increased surface pressure over the North Pacific and an amplified zonal pressure gradient along the east China coast. This bias pattern is associated with differences in model representations of topography. On the other hand, the South China Sea experiences an extensive elongated meridional rainfall bias dipole structure that straddles the equator. This is accompanied by a baroclinic vertical pattern over the tropics as well as a barotropic wave train that extends from Australia to the Antarctic, where the teleconnection is likely a direct atmospheric response to tropical convective heating.</t>
  </si>
  <si>
    <t>Illinois State Water Survey, Dept Nat Resources, Champaign, IL 61820 USA; Univ Illinois, Champaign, IL 61820 USA; SUNY Albany, Atmospher Sci Res Ctr, Albany, NY 12222 USA; Bowling Green State Univ, Geog Program, Bowling Green, OH 43403 USA; Bowling Green State Univ, Environm Program, Bowling Green, OH 43403 USA</t>
  </si>
  <si>
    <t>Illinois State Water Survey; University of Illinois System; University of Illinois Urbana-Champaign; State University of New York (SUNY) System; State University of New York (SUNY) Albany; University System of Ohio; Bowling Green State University; University System of Ohio; Bowling Green State University</t>
  </si>
  <si>
    <t>Liang, XZ (corresponding author), Illinois State Water Survey, Dept Nat Resources, 2204 Griffith Dr, Champaign, IL 61820 USA.</t>
  </si>
  <si>
    <t>Liang, Xin-Zhong/B-3561-2014</t>
  </si>
  <si>
    <t>Liang, Xin-Zhong/0000-0002-5047-3135</t>
  </si>
  <si>
    <t>10.1007/s003820000136</t>
  </si>
  <si>
    <t>402TG</t>
  </si>
  <si>
    <t>WOS:000167003800004</t>
  </si>
  <si>
    <t>Mulkiewicz, E; Zietara, MS; Strömberg, JO; Skorkowski, EF</t>
  </si>
  <si>
    <t>Lactate dehydrogenase from the northern krill Meganyctiphanes norvegica:: comparison with LDH from the Antarctic krill Euphausia superba</t>
  </si>
  <si>
    <t>Crustacea; Euphausiacea; krill; lactate dehydrogenase; polymorphism; isoenzymes; isozymes; purification; properties</t>
  </si>
  <si>
    <t>EVOLUTIONARY RELATIONSHIPS; GENETIC-VARIATION; CRUSTACEA; MUSCLE; HEART; FISH; PURIFICATION; SEQUENCES; BACTERIA; MAMMALS</t>
  </si>
  <si>
    <t>Electrophoretic polymorphism of lactate dehydrogenase (LDH, EC 1.1.1.27) from abdominal muscle is reported in the northern krill Meganyctiphancs norvegica. In the population, from the Gullmarsfjord (west coast of Sweden), LDH was encoded for by two different Ldh-A* and -B* loci. The isoenzymes were named according to their electrophoretic mobilities. Ldh-A* locus was polymorphic. The allelic frequencies were a = 0.99, a' = 0.002, a'' = 0.004, a''' = 0.004. The level of LDH polymorphism is low. Most individuals possess the same amount of two LDH homopolymers (LDH-A*(4) and LDH-B*(4)). The Meganyctiphanes norvegica LDH-A*(4) and LDH-B*(4) isoenzymes and the predominant LDH-A*(4) isoenzyme from Euphausia superba were purified to specific activities of 294, 306 and 464 mu mol NADH min(-1) mg(-1), respectively. In both species the LDH isoenzymes were separated by chromatofocusing. All three isoenzymes are L-specific tetramers with molecular weight of approximately 160 kDa. Northern krill LDH-A*(4) has higher affinity for pyruvate and lactate and is more thermostable than LDH-B*(4). Both isoenzymes are inhibited significantly by high concentration of pyruvate but not lactate. Antarctic krill isoenzyme exhibits high substrate affinities, high NAD inhibition, high inhibition at 10 mM pyruvate, lack of lactate inhibition, and high heat stability and resembles northern krill LDH-A*(4) isoenzyme. (C) 2001 Elsevier Science Inc. All rights reserved.</t>
  </si>
  <si>
    <t>Univ Gdansk, Biol Stn, PL-80680 Gdansk, Poland; Kristineberg Marine Res Stn, S-45034 Fiskegackskil, Sweden; PAS, Marine Biol Ctr, PL-81347 Gdynia, Poland</t>
  </si>
  <si>
    <t>Fahrenheit Universities; University of Gdansk; Polish Academy of Sciences</t>
  </si>
  <si>
    <t>Univ Gdansk, Biol Stn, PL-80680 Gdansk, Poland.</t>
  </si>
  <si>
    <t>skorkows@biotech.univ.gda.pl</t>
  </si>
  <si>
    <t>Mulkiewicz, Ewa/0000-0001-6144-1190; Zietara, Marek Stanislaw/0000-0003-0871-7076; Skorkowski, Edward Florian/0000-0003-3484-0916</t>
  </si>
  <si>
    <t>10.1016/S1096-4959(00)00314-6</t>
  </si>
  <si>
    <t>405EW</t>
  </si>
  <si>
    <t>WOS:000167146000005</t>
  </si>
  <si>
    <t>Wu, YL; Banoub, J; Goddard, SV; Kao, MH; Fletcher, GL</t>
  </si>
  <si>
    <t>Antifreeze glycoproteins: relationship between molecular weight, thermal hysteresis and the inhibition of leakage from liposomes during thermotropic phase transition</t>
  </si>
  <si>
    <t>antifreeze glycoproteins; AFGP; molecular weight; teleost fish; thermal hysteresis; Gadus ogac; liposomes; phase transition; hypothermic protection; phospholipid membrane</t>
  </si>
  <si>
    <t>ANTARCTIC FISHES; PROTEINS; GLYCOPEPTIDES; ICE</t>
  </si>
  <si>
    <t>Antifreeze glycoproteins (AFGP) were isolated and purified from the blood plasma of rock cod (Gadus ogac), using DEAE-Bio-gel ion exchange chromatography, followed by high performance liquid chromatography (HPLC). The purified proteins were analyzed using polyacrylamide gel electrophoresis (PAGE), and electrospray mass spectrometry. The results indicated that rock cod synthesize seven size classes of glycoproteins, ranging from 2.6 to 24 kDa, with each size class containing multiple isoforms, Antifreeze activity, as determined by thermal hysteresis, indicated that the AFGP could be separated into two groups, with the larger size classes (molecular mass &gt; 13 kDa) having approximately 3-4 times the activity of the smaller, proline containing, size classes (molecular mass &lt; 10 kDa). All of the AFGP size classes prevented leakage From dielaidoylphosphatidylcholine (DEPC) liposomes as they were cooled through their phase transition temperature, with the larger size classes being approximately 4 times as effective as the smaller ones. It is hypothesized that AFGP prevent liposomes from leaking as they pass through the phase transition temperature by binding to the phospholipid membrane. (C) 2001 Elsevier Science Inc. All rights reserved.</t>
  </si>
  <si>
    <t>AF Prot Canada Inc, St Johns, NF A1A 5B2, Canada; Dept Fisheries &amp; Oceans, Oceans &amp; Environm Branch, St Johns, NF A1C 5X1, Canada; Mem Univ Newfoundland, Ctr Ocean Sci, St Johns, NF A1C 5S7, Canada; Mem Univ Newfoundland, Dept Biol, St Johns, NF A1C 5S7, Canada</t>
  </si>
  <si>
    <t>Fisheries &amp; Oceans Canada; Memorial University Newfoundland; Memorial University Newfoundland</t>
  </si>
  <si>
    <t>Fletcher, GL (corresponding author), AF Prot Canada Inc, POB 21233, St Johns, NF A1A 5B2, Canada.</t>
  </si>
  <si>
    <t>10.1016/S1096-4959(00)00323-7</t>
  </si>
  <si>
    <t>WOS:000167146000008</t>
  </si>
  <si>
    <t>Nielsen, LB; Nielsen, HH</t>
  </si>
  <si>
    <t>Purification and characterization of cathepsin D from herring muscle (Clupea harengus)</t>
  </si>
  <si>
    <t>aspartic proteinase; cathepsin D; characterization; fish; glycosylation; myofibrils; N-terminal sequence; purification; substrate preference</t>
  </si>
  <si>
    <t>AMINO-ACID-SEQUENCE; X TILAPIA-AUREA; SKELETAL-MUSCLE; PROTEIN-DEGRADATION; SPAWNING MIGRATION; MOLECULAR-CLONING; DIFFERENTIAL UTILIZATION; MYOFIBRILLAR PROTEINS; ASPARTIC PROTEASE; PORCINE SPLEEN</t>
  </si>
  <si>
    <t>Cathepsin D was purified and concentrated 469-fold from a homogenate of Clupea harengus muscle. The purified enzyme is a monomer with a molecular weight of 38 000-39 000. It is inhibited by pepstatin and has optimal activity at pH 2.5 with hemoglobin as the substrate. The isoelectric point is at pH 6.8. Glycosidase treatment and binding to Concanavalin A indicated that the enzyme contains one N-linked carbohydrate moiety of the high-mannose type per molecule. The first 21 amino acid residues of the N-terminal showed high similarity to cathepsin D from antarctic icefish liver (Chionodraco hamatus) and trout ovary (Oncorhynchus mykiss). Digestion of the P-chain of oxidized insulin resulted in preferential cleavage at Leu(15)-Tyr(16), (47%), Tyr(16)-Leu(17) (34%) and Ala(14)-Leu(15) (18%). Incubation with myofibrils from herring muscle at pH 4.23 showed that the enzyme mainly degraded myosin, actin and tropomyosin. (C) 2001 Elsevier Science Inc. All rights reserved.</t>
  </si>
  <si>
    <t>Inst Biotechnol, Dept Mol Characterizat, DK-2970 Horsholm, Denmark; Tech Univ Denmark, Dept Seafood Res, Danish Inst Fisheries Res, DK-2800 Lyngby, Denmark</t>
  </si>
  <si>
    <t>Technical University of Denmark</t>
  </si>
  <si>
    <t>Inst Biotechnol, Dept Mol Characterizat, Kogle Alle 2, DK-2970 Horsholm, Denmark.</t>
  </si>
  <si>
    <t>lbn@bioteknologisk.dk</t>
  </si>
  <si>
    <t>10.1016/S1096-4959(00)00332-8</t>
  </si>
  <si>
    <t>WOS:000167146000015</t>
  </si>
  <si>
    <t>Walter, HJ; Geibert, W; van der Loeff, MMR; Fischer, G; Bathmann, U</t>
  </si>
  <si>
    <t>Shallow vs. deep-water scavenging of 231Pa and 230Th in radionuclide enriched waters of the Atlantic sector of the Southern Ocean</t>
  </si>
  <si>
    <t>thorium; protactinium; Southern Ocean; sediment traps; scavenging; seasonality</t>
  </si>
  <si>
    <t>ANTARCTIC POLAR FRONT; PARTICLE-FLUX; NATURAL RADIONUCLIDES; PA-231/TH-230 RATIO; SEDIMENT TRAPS; INDIAN SECTOR; PACIFIC-OCEAN; WEDDELL SEA; EXPORT; RATES</t>
  </si>
  <si>
    <t>The scavenging of Pa-231 and Th-230 was investigated in the Atlantic Sector of the Southern Ocean by combining results from sediment trap and in situ filtration studies. We present the first high-resolution profile of dissolved Th-230 and Pa-231 in surface waters across the ACC, showing a dramatic southward increase of both radionuclides around the southern ACC Front at 53 degreesS. High dissolved Pa-231/Th-230 ratios combined with low Th-230/Pa-231 fractionation factors (F) in these surface waters result in extremely high Pa-231(xs)/Th-230(xs) ratios of material collected in the shallow traps. Particulate Pa-231(xs)/Th-230(xs) ratios in a shallow trap near Bouvet Island increase continuously during the productive period in austral summer, and drop back in the low flux period. This behavior, following the Rayleigh fractionation principle, is interpreted to be due to an increase in the dissolved Pa-231/Th-230 ratio in the euphotic zone resulting from preferential scavenging of Th-230 relative to Pa-231, even in opal-dominated regions. In the post-bloom stage, the depleted radionuclide concentrations are replenished by upwelling of Circumpolar Deep Water. The high particulate Pa-231(xs)/Th-230(xs) Signal is weakened during downward transport of the bloom particles in the water column by incorporation of deep suspended particles, which have a lower Pa-231(xs)/Th-230(xs) ratio. It is shown that under the special hydrographic conditions in the Southern Ocean scavenging from the upper water column significantly influences the budgets of Th-230 and Pa-231 in the sediment. Nevertheless, the budgets are still made up primarily by scavenging from the large standing stock of deep suspended particles. (C) 2000 Elsevier Science Ltd. All rights reserved.</t>
  </si>
  <si>
    <t>Alfred Wegener Inst Polar &amp; Marine Res, D-27570 Bremerhaven, Germany; Univ Bremen, Fachbereich Geowissensch, Bremen, Germany</t>
  </si>
  <si>
    <t>Alfred Wegener Inst Polar &amp; Marine Res, Handelshafen 12, D-27570 Bremerhaven, Germany.</t>
  </si>
  <si>
    <t>hwalter@awi-bremerhaven.de</t>
  </si>
  <si>
    <t>Bathmann, Ulrich/ISV-4351-2023; Geibert, Walter/ABA-9785-2020; Geibert, Walter/C-3722-2011</t>
  </si>
  <si>
    <t>Geibert, Walter/0000-0001-8646-2334;</t>
  </si>
  <si>
    <t>10.1016/S0967-0637(00)00046-7</t>
  </si>
  <si>
    <t>374UM</t>
  </si>
  <si>
    <t>WOS:000165362800006</t>
  </si>
  <si>
    <t>Dmitrenko, IA; Hoelemann, JA; Kirillov, SA; Berezovskaya, SL; Kassens, H</t>
  </si>
  <si>
    <t>Role of barotropic sealevel changes in current formation on the eastern shelf of the Laptev Sea</t>
  </si>
  <si>
    <t>ARCTIC-OCEAN; CIRCULATION; SURFACE</t>
  </si>
  <si>
    <t>Arctic &amp; Antarctic Res Inst, St Petersburg 199397, Russia; Alfred Wegener Inst Polar &amp; Meeresforsch, D-27515 Bremerhaven, Germany; Russian State Hydrometeorol Univ, St Petersburg 195196, Russia; Univ Kiel, Forschungszentrum Marine Geowissensch, GEOMAR, D-24148 Kiel, Germany</t>
  </si>
  <si>
    <t>Arctic &amp; Antarctic Research Institute; Helmholtz Association; Alfred Wegener Institute, Helmholtz Centre for Polar &amp; Marine Research; Russian State Hydrometeorological University; Helmholtz Association; GEOMAR Helmholtz Center for Ocean Research Kiel; University of Kiel</t>
  </si>
  <si>
    <t>Dmitrenko, IA (corresponding author), Arctic &amp; Antarctic Res Inst, Ul Beringa 38, St Petersburg 199397, Russia.</t>
  </si>
  <si>
    <t>Hoelemann, Jens/N-3608-2016</t>
  </si>
  <si>
    <t>Hoelemann, Jens/0000-0001-5102-4086; Stuefer, Svetlana/0000-0003-0740-8335</t>
  </si>
  <si>
    <t>FEB-MAR</t>
  </si>
  <si>
    <t>413KW</t>
  </si>
  <si>
    <t>WOS:000167612200028</t>
  </si>
  <si>
    <t>Volkov, AM; Grishchenko, VD; Kravchenko, VF; Loshchilov, VS; Pichugin, AM; Pustovoit, VI; Skuratova, IS</t>
  </si>
  <si>
    <t>Analysis of ice conditions in Arctic regions according to data of radiophysical measurements by the Okean-01 satellite</t>
  </si>
  <si>
    <t>DOKLADY PHYSICS</t>
  </si>
  <si>
    <t>Russian Aviat Space Agcy, Sci Ctr Prompt Earth Monitoring, Moscow, Russia; Res Inst Arctic &amp; Antarctic Regions, St Petersburg, Russia; Russian Acad Sci, Inst Radio Engn &amp; Elect, Moscow, Russia; Russian Acad Sci, Res Technol Ctr Unique Instrumentat, Moscow, Russia; Res Technol Ctr KomTekh, Dolgoprudnyi, Moscow Oblast, Russia</t>
  </si>
  <si>
    <t>Roscosmos; Keldysh Research Center; Russian Academy of Sciences; Russian Academy of Sciences; Scientific &amp; Technological Center of Unique Instrumentation of the Russian Academy of Sciences</t>
  </si>
  <si>
    <t>Volkov, AM (corresponding author), Russian Aviat Space Agcy, Sci Ctr Prompt Earth Monitoring, Moscow, Russia.</t>
  </si>
  <si>
    <t>Kravchenko, Victor F/P-1861-2015; Pustovoit, Vyacheslav I./L-7356-2017</t>
  </si>
  <si>
    <t>MAIK NAUKA/INTERPERIODICA PUBL</t>
  </si>
  <si>
    <t>C/O AMERICAN INST PHYSICS, 2 HUNTINGTON QUANDRANGLE, STE 1NO1, MELVILLE, NY 11747-4502 USA</t>
  </si>
  <si>
    <t>1028-3358</t>
  </si>
  <si>
    <t>DOKL PHYS</t>
  </si>
  <si>
    <t>Dokl. Phys.</t>
  </si>
  <si>
    <t>10.1134/1.1355384</t>
  </si>
  <si>
    <t>Mechanics; Physics, Multidisciplinary</t>
  </si>
  <si>
    <t>413KV</t>
  </si>
  <si>
    <t>WOS:000167612100009</t>
  </si>
  <si>
    <t>Schreer, JF; Kovacs, KM; Hines, RJO</t>
  </si>
  <si>
    <t>Comparative diving patterns of pinnipeds and seabirds</t>
  </si>
  <si>
    <t>ECOLOGICAL MONOGRAPHS</t>
  </si>
  <si>
    <t>calculated aerobic dive limit; dive profile; dive shape; functional analysis; fur seal; penguin; quantitative analysis; seabird; seal; time-depth recorder; universal classification method</t>
  </si>
  <si>
    <t>SOUTHERN ELEPHANT SEALS; BREEDING ADELIE PENGUINS; ANTARCTIC FUR SEALS; WEDDELL SEALS; MIROUNGA-LEONINA; PLASMA LACTATE; ST-LAWRENCE; HEART-RATE; LEPTONYCHOTES-WEDDELLII; ZALOPHUS-CALIFORNIANUS</t>
  </si>
  <si>
    <t>General ecological information resulting from modern dive studies has been limited because analyses and conclusions are study- and species-specific. In this work, a series of unrelated divers was studied and compared using the same analytical procedures. More than 230 000 dives from 12 species were analyzed, and similar to 140 000 of these dives were classified according to dive shape. The species included one cormorant, three penguins, two eared seals, five true seals, and a walrus. Dive profiles could generally be characterized as one of four shapes: square, V, skewed right, or skewed left. In light of this, a universal shape classification protocol was developed that also offers potential solutions for on board memory limitations and transmission constraints for archival time-depth recorders and satellite-linked time-depth recorders; Comparisons of dive data recorded with different sample intervals indicated the need for a standardization relative to mean dive duration (i.e., an equal number of data points per dive). Comparative analyses across these dive types and the different species revealed that square dives were always, and by far, the most abundant dive type, usually followed by V dives, and then the skewed dives. The percentage of time that the animals spent at the bottom of square dives (similar to 50%), as well as the variation in depth during this bottom time (similar to 15%) were also quite uniform across species, indicating that similar foraging patterns were being used, at least relative to the shape of dives. Observed differences across species revealed that larger divers generally dived deeper and longer than did smaller ones, although fur seals and walrus were exceptions, with more limited diving performance than expected based on body size. Also, smaller divers had a tighter coupling between dive depth and duration than did larger ones, indicating that they may be more duration limited. Few other dive variables (e.g., the rate at which dive duration increases with depth, the percentage of dives within each dive type, the percentage of bottom time, the coefficient of variation of depth during bottom time, and the mean wiggle distance per depth during square dives) were affected by body size, but instead physical (water depth) and ecological (type of prey) constraints appeared to play major roles. Analyses using calculated aerobic dive limit (cADL) indicated that generic calculations are problematic and that estimates of diving metabolic rate can drastically influence cADL and resultant findings. However, even using crude estimators, comparisons of cADL across dive types indicated that square dives and V dives most often exceeded the cADL for large and small divers, respectively. This indicates that square dives and V dives may be the pre dominant foraging dive types for larger and smaller divers, respectively, as animals would be expected to push their limits most during this activity. However, the abundance of square dives within the small divers (&gt;60%) indicates that these dives may have a foraging role as well. Functional analyses of the determined dive types were in general agreement with those from previous work indicating that the various dive types have foraging (benthic and pelagic), traveling, exploring, resting, and processing functions. However, for most species, except Weddell seal and southern elephant seal (rare but likely important), skewed dives were rare and are likely to be of little importance to these animals' diving regimes. Overall similarities in the dive patterns of the various species suggest that these animals exploit the aquatic environment in a similar way.</t>
  </si>
  <si>
    <t>Univ Waterloo, Dept Biol, Waterloo, ON N2L 3G1, Canada; Univ Waterloo, Dept Stat &amp; Actuarial Sci, Waterloo, ON N2L 3G1, Canada</t>
  </si>
  <si>
    <t>University of Waterloo; University of Waterloo</t>
  </si>
  <si>
    <t>Univ Waterloo, Dept Biol, Waterloo, ON N2L 3G1, Canada.</t>
  </si>
  <si>
    <t>jfschree@sciborg.uwaterloo.ca</t>
  </si>
  <si>
    <t>0012-9615</t>
  </si>
  <si>
    <t>1557-7015</t>
  </si>
  <si>
    <t>ECOL MONOGR</t>
  </si>
  <si>
    <t>Ecol. Monogr.</t>
  </si>
  <si>
    <t>10.1890/0012-9615(2001)071[0137:CDPOPA]2.0.CO;2</t>
  </si>
  <si>
    <t>401EH</t>
  </si>
  <si>
    <t>WOS:000166914000007</t>
  </si>
  <si>
    <t>Truong, LV; Tuyen, H; Helmke, E; Binh, LT; Schweder, T</t>
  </si>
  <si>
    <t>Cloning of two pectate lyase genes from the marine Antarctic bacterium Pseudoalteromonas haloplanktis strain ANT/505 and characterization of the enzymes</t>
  </si>
  <si>
    <t>pectate lyase; pectin; psychrophilic; marine; Pseudoalteromonas haloplanktis</t>
  </si>
  <si>
    <t>ERWINIA-CHRYSANTHEMI EC16; ESCHERICHIA-COLI; SEQUENCE-ANALYSIS; ERWINIA-CHRYSANTHEMI-3937; PECTIN; NOV; PURIFICATION; EXPRESSION; PROTEINS; BINDING</t>
  </si>
  <si>
    <t>A marine Antarctic psychrotolerant bacterium (strain ANT/505), isolated from sea ice-covered surface water from the Southern Ocean, showed pectinolytic activity on citrus pectin agar. The sequencing of the 16S rRNA of isolate ANT/505 indicates a taxonomic affiliation to Pseudoalteromonas haloplanktis. The supernatant of this strain showed three different pectinolytic activities after growth on citrus pectin. By activity screening of a genomic DNA library of isolate ANT/505 in Escherichia coli, two different pectinolytic clones could be isolated. Subcloning and sequencing revealed two open reading frames (ORF) of 1,671 and 1,968 nt, corresponding to proteins of 68 and 75 kDa, respectively. The deduced amino acid sequence of the two ORFs showed homology to pectate lyases from Erwinia chrysanthemi and Aspergillus nidulans. The pectate lyases contain signal peptides of 17 and 26 amino acids that were correctly processed after overexpression in E. coli BL21. Both enzymes were purified by anionic exchange chromatography. Maximal enzymatic activities for both pectate lyases were observed at 30 degreesC and a pH range of 9 to 10. The K-m values of both lyases for pectate and citrus pectin were 1 g l(-1) and 5 g l(-1), respectively. Calcium was required for activity on pectic substrates, whereas the addition of 1 mM ethylenediaminetetraacetic acid (EDTA) resulted in complete inhibition of the enzymes. These two enzymes represent the first pectate lyases isolated and characterized from a cold-adapted marine bacterium.</t>
  </si>
  <si>
    <t>Inst Marine Biotechnol, D-17489 Greifswald, Germany; Alfred Wegener Inst Polar &amp; Marine Res, D-2850 Bremerhaven, Germany; Natl Ctr Nat Sci &amp; Technol, Inst Biotechnol, Hanoi, Vietnam</t>
  </si>
  <si>
    <t>Helmholtz Association; Alfred Wegener Institute, Helmholtz Centre for Polar &amp; Marine Research; Vietnam Academy of Science &amp; Technology (VAST)</t>
  </si>
  <si>
    <t>Inst Marine Biotechnol, W Rathenau Str 49A, D-17489 Greifswald, Germany.</t>
  </si>
  <si>
    <t>Schweder@microbiol.biologie.uni-greifswald.de</t>
  </si>
  <si>
    <t>410DV</t>
  </si>
  <si>
    <t>WOS:000167425500006</t>
  </si>
  <si>
    <t>Lucchitta, BK</t>
  </si>
  <si>
    <t>Antarctic ice streams and outflow channels on mars</t>
  </si>
  <si>
    <t>WATER; FLOW</t>
  </si>
  <si>
    <t>New sonar images of the Antarctic sea floor reveal mega-scale glacial lineations that are strikingly similar to longitudinal flutes in martian outflow channels. The analogs suggest that ice moved through the martian channels in places and carved the flutes. The ice in martian channels may have moved like Antarctic ice streams on deformable debris saturated with water under high pore pressure. On Mars, water at the base of ice-filled channels may have come from residual water or melt water liberated during past warmer climates or higher heat flows.</t>
  </si>
  <si>
    <t>US Geol Survey, Flagstaff, AZ 86001 USA</t>
  </si>
  <si>
    <t>US Geol Survey, 2255 N Gemini Dr, Flagstaff, AZ 86001 USA.</t>
  </si>
  <si>
    <t>FEB 1</t>
  </si>
  <si>
    <t>10.1029/2000GL011924</t>
  </si>
  <si>
    <t>395LK</t>
  </si>
  <si>
    <t>WOS:000166581700001</t>
  </si>
  <si>
    <t>Williams, MJM</t>
  </si>
  <si>
    <t>Application of a three-dimensional numerical model to Lake Vostok: An Antarctic subglacial lake</t>
  </si>
  <si>
    <t>ICE SHELF; OCEAN-CIRCULATION; EAST ANTARCTICA; BENEATH</t>
  </si>
  <si>
    <t>The circulation in two water column thickness scenarios for Lake Vostok, a subglacial lake in central East Antarctica, is investigated using a three-dimensional numerical model. In a scenario with a constant water column thickness (the distance between the sloping ice sheet which caps the lake and the lake bed) the circulation is barotropic, but with a more realistic water column thickness the flow is baroclinic. The different circulations result from the geothermal heat flux warming shallow regions of the realistic lake more efficiently, thus forming a different horizontal density structure. The differences and uncertainties between the two scenarios highlight the importance that the largely unknown water column thickness and geothermal heat flux have in determining the circulation in the lake.</t>
  </si>
  <si>
    <t>Univ Copenhagen, Danish Ctr Earth Syst Sci, Neils Bohr Inst Astron Phys &amp; Geophys, DK-2100 Copenhagen O, Denmark</t>
  </si>
  <si>
    <t>Williams, MJM (corresponding author), Univ Copenhagen, Danish Ctr Earth Syst Sci, Neils Bohr Inst Astron Phys &amp; Geophys, Juliane Maries Vej 30, DK-2100 Copenhagen O, Denmark.</t>
  </si>
  <si>
    <t>Williams, Michael/H-9674-2014</t>
  </si>
  <si>
    <t>10.1029/2000GL012107</t>
  </si>
  <si>
    <t>WOS:000166581700033</t>
  </si>
  <si>
    <t>Barrett, J</t>
  </si>
  <si>
    <t>Thermal hysteresis proteins</t>
  </si>
  <si>
    <t>INTERNATIONAL JOURNAL OF BIOCHEMISTRY &amp; CELL BIOLOGY</t>
  </si>
  <si>
    <t>thermal hysteresis; anti-freeze proteins; cold adaptation; protein evolution</t>
  </si>
  <si>
    <t>WINTER FLOUNDER ANTIFREEZE; BEETLE DENDROIDES-CANADENSIS; DIVALENT METAL-IONS; TRANSGENIC DROSOPHILA-MELANOGASTER; ANTARCTIC NOTOTHENIOID FISH; AMERICANUS ENCODE DISTINCT; CARBOHYDRATE-BINDING SITE; C-TYPE LECTIN; PLEURONECTES-AMERICANUS; COLD TOLERANCE</t>
  </si>
  <si>
    <t>Extreme environments present a wealth of biochemical adaptations. Thermal hysteresis proteins (THPs) have been found in vertebrates, invertebrates, plants, bacteria and fungi and are able to depress the freezing point of water tin the presence of ice crystals) in a non-colligative manner by binding to the surface of nascent ice crystals. The THPs comprise a disparate group of proteins with a variety of tertiary structures and often no common sequence similarities or structural motifs. Different THPs bind to different faces of the ice crystal, and no single mechanism has been proposed to account for THP ice binding affinity and specificity. Experimentally THPs have been used in the cryopreservation of tissues and cells and to induce cold tolerance in freeze susceptible organisms. THPs represent a remarkable example of parallel and convergent evolution with different proteins being adapted for an anti-freeze role. (C) 2001 Elsevier Science Ltd. All rights reserved.</t>
  </si>
  <si>
    <t>Univ Wales, Inst Biol Sci, Aberystwyth SY23 3DA, Dyfed, Wales</t>
  </si>
  <si>
    <t>Univ Wales, Inst Biol Sci, Aberystwyth SY23 3DA, Dyfed, Wales.</t>
  </si>
  <si>
    <t>jzb@aber.ac.uk</t>
  </si>
  <si>
    <t>1357-2725</t>
  </si>
  <si>
    <t>1878-5875</t>
  </si>
  <si>
    <t>INT J BIOCHEM CELL B</t>
  </si>
  <si>
    <t>Int. J. Biochem. Cell Biol.</t>
  </si>
  <si>
    <t>10.1016/S1357-2725(00)00083-2</t>
  </si>
  <si>
    <t>Biochemistry &amp; Molecular Biology; Cell Biology</t>
  </si>
  <si>
    <t>412WG</t>
  </si>
  <si>
    <t>WOS:000167576900001</t>
  </si>
  <si>
    <t>Reason, CJC; Murray, RJ</t>
  </si>
  <si>
    <t>Modelling low frequency variability in Southern Hemisphere extra-tropical cyclone characteristics and its sensitivity to sea-surface temperature</t>
  </si>
  <si>
    <t>INTERNATIONAL JOURNAL OF CLIMATOLOGY</t>
  </si>
  <si>
    <t>Southern Hemisphere; low frequency climate variability; extra-tropical cyclones; sea-surface temperature; atmospheric modelling</t>
  </si>
  <si>
    <t>DECADAL CLIMATE VARIABILITY; ANTARCTIC CIRCUMPOLAR WAVE; INTERANNUAL VARIABILITY; NUMERICAL SCHEME; NORTH PACIFIC; DIGITAL DATA; CIRCULATION; OCEAN; PRESSURE; CENTERS</t>
  </si>
  <si>
    <t>The outflow regions of the western boundary currents of the Southern Hemisphere and their extensions into the South Indian Ocean, South Pacific and South Atlantic Currents are prominent areas of low Frequency variability in sea-surface temperature (SST). One mechanism of decadal/multidecadal variability involves modulation of surface heat flux exchange and the track and intensity of extra-tropical cyclones and associated frontal systems in response to a zonal mid-latitude SST anomaly. Here, the influence of this type of SST pattern on cyclone properties is investigated by applying a vortex tracking scheme to atmospheric general circulation model integrations. In order to assess the subdecadal to multidecadal scale response, these integrations were conducted for a 21-year period with forcing consisting of a warm SST anomaly stretching across the Southern Hemisphere mid-latitudes. In response to this forcing, a large-scale trough at mid-latitudes and ridging at higher latitudes are generated in the model. Associated with this change in Southern Hemisphere baroclinicity are increases in the density and flux of cyclonic systems in the 40 degrees -55 degreesS zone but decreases poleward of this latitude belt. It is found that the model response weakens throughout the Southern Hemisphere mid- to high-latitudes in the second decade compared to the first but that there is less evidence of a hemispheric weakening in the second quinquennium relative to the first. Implications of these results for mechanisms of decadal/multidecadal climate variability are discussed. Copyright (C) 2001 Royal Meteorological Society.</t>
  </si>
  <si>
    <t>Univ Melbourne, Sch Earth Sci, Parkville, Vic 3052, Australia; Univ Cape Town, Dept Environm &amp; Geog Sci, ZA-7701 Rondebosch, South Africa</t>
  </si>
  <si>
    <t>University of Melbourne; University of Cape Town</t>
  </si>
  <si>
    <t>Reason, CJC (corresponding author), Univ Melbourne, Sch Earth Sci, Parkville, Vic 3052, Australia.</t>
  </si>
  <si>
    <t>cjr@egs.uct.ac.za</t>
  </si>
  <si>
    <t>0899-8418</t>
  </si>
  <si>
    <t>1097-0088</t>
  </si>
  <si>
    <t>INT J CLIMATOL</t>
  </si>
  <si>
    <t>Int. J. Climatol.</t>
  </si>
  <si>
    <t>406VZ</t>
  </si>
  <si>
    <t>WOS:000167238000006</t>
  </si>
  <si>
    <t>Engelhardt, MA; Daly, K; Swannell, RPJ; Head, IM</t>
  </si>
  <si>
    <t>Isolation and characterization of a novel hydrocarbon-degrading, Gram-positive bacterium, isolated from intertidal beach sediment, and description of Planococcus alkanoclasticus sp nov.</t>
  </si>
  <si>
    <t>JOURNAL OF APPLIED MICROBIOLOGY</t>
  </si>
  <si>
    <t>PERFORMANCE LIQUID-CHROMATOGRAPHY; COMB-NOV; MARINOCOCCUS-HISPANICUS; MAXIMUM-LIKELIHOOD; PHYLOGENETIC TREES; GENUS BACILLUS; DNA-SEQUENCES; RNA; ACID; BIOREMEDIATION</t>
  </si>
  <si>
    <t>Aims: Characterization of a bacterial isolate (strain MAE2) from intertidal beach sediment capable of degrading linear and branched alkanes. Methods and Results: A Gram-positive, aerobic, heterotrophic bacterium (strain MAE2), that was capable of extensive degradation of alkanes in crude oil but had a limited capacity for the utilization of other organic compounds, was isolated from intertidal beach sediment. MAE2 had an obligate requirement for NaCl but could not tolerate high salt concentrations. It was capable of degrading branched and n-alkanes in crude oil from C11 to C33, but was unable to degrade aromatic hydrocarbons. Comparative 16S rRNA sequence analysis placed the isolate with members of the genus Planococcus. That finding was corroborated by chemotaxonomic and physiological data. The fatty acid composition of strain MAE2 was very similar to the type species of the genus Planococcus, P. citreus (NCIMB 1493(T)) and P. kocurii (NCIMB 629(T)), and was dominated by branched acids, mainly a15:0. However, the 16S rRNA of strain MAE2 had less than 97% sequence identity with the type strains of P. citreus (NCIMB 1439(T)), P. kocurii (NCIMB 629(T)) and two Planococcus spp. (strain MB6-16 and strain ICO24) isolated from Antarctic sea ice. This indicated that strain MAE2 represented a separate species from these planococci. Morphologically, the isolate resembled P. okeanokoites (NCIMB 561(T)) and P. mcmeekinii S23F2 (ATCC 700539(T)). The cellular fatty acid composition of P. okeanokoites and P. mcmeekinii was considerably different from strain MAE2, and the mol % G + C content of P. mcmeekinii was far lower than that of MAE2. Conclusions: On the basis of phenotypic and genotypic data, it is proposed that strain MAE2 is a new species of Planococcus, Planococcus alkanoclasticus sp, nov., for which the type strain is P. alkanoclasticus MAE2 (NCIMB 13489(T)). Significance and Impact of the Study: Planococcus species are abundant members of the bacterial community in a variety of marine environments, including some in sensitive Antarctic ecosystems. The occurrence of hydrocarbon-degrading Planococcus spp. is potentially of importance in controlling the impact of hydrocarbon contamination in sensitive marine environments.</t>
  </si>
  <si>
    <t>Univ Newcastle Upon Tyne, Fossil Fuels &amp; Environm Geochem Postgrad Inst NRG, Newcastle Upon Tyne NE1 7RU, Tyne &amp; Wear, England; Univ Newcastle Upon Tyne, Ctr Mol Ecol, Newcastle Upon Tyne NE1 7RU, Tyne &amp; Wear, England; AEA Technol, Abingdon OX14 3DB, Oxon, England</t>
  </si>
  <si>
    <t>Newcastle University - UK; Newcastle University - UK</t>
  </si>
  <si>
    <t>Head, IM (corresponding author), Univ Newcastle Upon Tyne, Fossil Fuels &amp; Environm Geochem Postgrad Inst NRG, Drummond Bldg, Newcastle Upon Tyne NE1 7RU, Tyne &amp; Wear, England.</t>
  </si>
  <si>
    <t>Head, Ian/0000-0002-5373-162X</t>
  </si>
  <si>
    <t>1364-5072</t>
  </si>
  <si>
    <t>J APPL MICROBIOL</t>
  </si>
  <si>
    <t>J. Appl. Microbiol.</t>
  </si>
  <si>
    <t>10.1046/j.1365-2672.2001.01241.x</t>
  </si>
  <si>
    <t>406WT</t>
  </si>
  <si>
    <t>WOS:000167239700012</t>
  </si>
  <si>
    <t>Salamatin, AN; Lipenkov, VY; Ikeda-Fukazawa, T; Hondoh, T</t>
  </si>
  <si>
    <t>Kinetics of air-hydrate nucleation in polar ice sheets</t>
  </si>
  <si>
    <t>JOURNAL OF CRYSTAL GROWTH</t>
  </si>
  <si>
    <t>diffusion; nucleation; natural crystal growth; clathrate hydrates</t>
  </si>
  <si>
    <t>ANTARCTIC ICE; VOSTOK STATION; RAMAN-SPECTRA; GREENLAND; CORE; TEMPERATURE; CRYSTALS; BUBBLES; CONVERSION; NITROGEN</t>
  </si>
  <si>
    <t>Nucleation of air clathrate hydrates in air bubbles and diffusive air-mass exchange between coexisting ensembles of bubbles and hydrate crystals are the major interrelated processes that determine the phase change in the air-ice system in polar ice. In continuation of Salamatin et al. (J. Crystal Growth 193 (1998) 197; Ann. Glaciol. 29 (1999) 191) where the post-nucleation conversion of single air bubbles to hydrates was considered, we present here a statistical description for transformation of air bubbles to air clathrate hydrates based on the general theory of evolution of these two ensembles, including the gas fractionation effects. The model is fit to data on ice cores from central Antarctica, and then compared to other ice-core data. The focus is on the rate of clathrate-hydrate nucleation, which is determined to be the product of the inverse relative bubble size raised to the power lambda approximate to 5.8 with the relative supersaturation to the power beta approximate to 2 The clathration-rate constant is k(0) approximate to3.2-4.5 x 10(-6) yr(-1) at 220 K. The N-2- and O-2-permeation coefficients in ice, at 220 K, are inferred to be D-N2(0) approximate to 1.8-2.5 x 10(-8) mm(2)yr(-1) and D-O2(0) approximate to 5.4-7.5 x 10(-8)mm(2)yr(-1), respectively. Comparison of observations to simulations of bubble-to-hydrate transformation in Greenland ice sheer gave estimates for activation energies of hydrate formation and air diffusion of Q(J) approximate to 70 kJ mol(-1) and Q(d) approximate to 50 kJ mol(-1) respectively. (C) 2001 Elsevier Science B.V. All rights reserved.</t>
  </si>
  <si>
    <t>Hokkaido Univ, Inst Low Temp Sci, Sapporo, Hokkaido 060, Japan; Kazan VI Lenin State Univ, Dept Appl Math, Kazan 420008, Russia; Arctic &amp; Antarctic Res Inst, St Petersburg 199397, Russia</t>
  </si>
  <si>
    <t>Hokkaido University; Kazan Federal University; Arctic &amp; Antarctic Research Institute</t>
  </si>
  <si>
    <t>Hokkaido Univ, Inst Low Temp Sci, N19,W8, Sapporo, Hokkaido 060, Japan.</t>
  </si>
  <si>
    <t>hnd@hhp2.lowtem.hokudai.ac.jp</t>
  </si>
  <si>
    <t>Lipenkov, Vladimir/Q-8262-2016; HONDOH, Takeo/E-7551-2011; Salamatin, Andrey/A-9831-2016</t>
  </si>
  <si>
    <t>Lipenkov, Vladimir/0000-0003-4221-5440; HONDOH, Takeo/0000-0003-4129-022X; Ikeda-Fukazawa, Tomoko/0000-0002-5265-4706; Salamatin, Andrey/0000-0002-5988-6024</t>
  </si>
  <si>
    <t>0022-0248</t>
  </si>
  <si>
    <t>1873-5002</t>
  </si>
  <si>
    <t>J CRYST GROWTH</t>
  </si>
  <si>
    <t>J. Cryst. Growth</t>
  </si>
  <si>
    <t>10.1016/S0022-0248(00)01002-2</t>
  </si>
  <si>
    <t>Crystallography; Materials Science, Multidisciplinary; Physics, Applied</t>
  </si>
  <si>
    <t>Crystallography; Materials Science; Physics</t>
  </si>
  <si>
    <t>408BL</t>
  </si>
  <si>
    <t>WOS:000167306600038</t>
  </si>
  <si>
    <t>Green, JA; Butler, PJ; Woakes, AJ; Boyd, IL; Holder, RL</t>
  </si>
  <si>
    <t>Heart rate and rate of oxygen consumption of exercising macaroni penguins</t>
  </si>
  <si>
    <t>heart rate; oxygen consumption; macaroni penguin; Eudyptes chrysolophus; exercise; metabolic rate; fasting; foraging</t>
  </si>
  <si>
    <t>DOUBLY LABELED WATER; SEALS ARCTOCEPHALUS-GAZELLA; BLACK-BROWED ALBATROSSES; DAILY ENERGY-EXPENDITURE; SOUTH GEORGIA; EUDYPTES-CHRYSOLOPHUS; METABOLIC-RATE; PYGOSCELIS-PAPUA; GENTOO PENGUINS; TEMPERATURE REGULATION</t>
  </si>
  <si>
    <t>Twenty-four macaroni penguins (Eudyptes chrysolophus) from three groups, breeding males (N=9), breeding females (N=9) and moulting females (N=6), were exercised on a variable-speed treadmill. Heart rate (fH) and mass-specific rate of oxygen consumption (s(V)over dotO(2)) were recorded from the animals, and both fH and s(V)over dotO(2) were found to increase linearly with increasing treadmill speed. A linear regression equation described the relationship between fH and s(V)over dotO(2), for each individual. There were no significant differences in these regressions between breeding and moulting females. There were significant differences in these relationships between all females and breeding males. fH and s(V)over dotO(2), were recorded from five of these animals for a total of 24 h, When fH was used to predict s(V)over dotO(2), for the 24 h period using the derived regressions, the estimate was not significantly different from the measured values, with an average error of -2.1 %. When fH was used to predict s(V)over dotO(2), for the 5 min intervals used for the calibration in all 24 birds, the estimate was not significantly different from the observed values, and the average error was only +0.47 %. Since the fH/s(V)over dotO(2), relationship was the same during periods of the annual cycle when the animals were inactive/fasting and active/foraging, it seems reasonable that, as long as sex differences are taken into account,fH can be used to predict the metabolic rates of free-ranging macaroni penguins all year round.</t>
  </si>
  <si>
    <t>Univ Birmingham, Sch Biosci, Birmingham B15 2TT, W Midlands, England; British Antarctic Survey, Cambridge CB3 0ET, England; Univ Birmingham, Sch Math &amp; Stat, Birmingham B15 2TT, W Midlands, England</t>
  </si>
  <si>
    <t>University of Birmingham; UK Research &amp; Innovation (UKRI); Natural Environment Research Council (NERC); NERC British Antarctic Survey; University of Birmingham</t>
  </si>
  <si>
    <t>J.A.Green@bham.ac.uk</t>
  </si>
  <si>
    <t>Green, Jonathan A/B-8799-2011; Woakes, Anthony/JYD-0387-2024</t>
  </si>
  <si>
    <t>Green, Jonathan A/0000-0001-8692-0163;</t>
  </si>
  <si>
    <t>1477-9145</t>
  </si>
  <si>
    <t>410LG</t>
  </si>
  <si>
    <t>WOS:000167441000006</t>
  </si>
  <si>
    <t>Yoda, K; Naito, Y; Sato, K; Takahashi, A; Nishikawa, J; Ropert-Coudert, Y; Kurita, M; Le Maho, Y</t>
  </si>
  <si>
    <t>A new technique for monitoring the behaviour of free-ranging Adelie penguins</t>
  </si>
  <si>
    <t>Pygoscelis adeliae; Adelie penguin; acceleration data logger; remote monitoring; behaviour; time budget; allocation; foraging strategy</t>
  </si>
  <si>
    <t>DIVING BEHAVIOR; GENTOO PENGUINS; PERFORMANCE; ATTACHMENT; PATTERN; DEVICES; ICE</t>
  </si>
  <si>
    <t>Measurement of the time allocation of penguins at sea has been a major goal of researchers in recent years. Until now, however, no equipment has been available that would allow measurement of the aquatic and terrestrial behaviour of an Antarctic penguin while it is commuting between the colony and the foraging grounds. A new motion detector, based on the measurement of acceleration, has been used here in addition to current methods of inferring behaviour using data loggers that monitor depth and speed. We present data on the time allocation of Adelie penguins (Pygoscelis adeliae) according to the different types of behaviours they display during their foraging trips: walking, tobogganing, standing on land, lying on land, resting at the water surface, porpoising and diving. To illustrate the potential of this new technique, we compared the behaviour of Adelie penguins during the chick-rearing period in a fast sea-ice region and an ice-free region. The proportion of time spent standing, lying on land and walking during foraging trips was greater for penguins in the sea-ice region (37.6+/-13.3 % standing, 21.6+/-15.6 % lying and 5.9+6.3 % walking) than for those in the ice-free region (12.0+/-15.8 % standing, 0.38+/-0.60 % lying and 0 % walking), whereas the proportion of time spent resting at the water surface and porpoising was greater for birds in the ice-free region (38.1+/-6.4% resting and 1.1+/-1.1 % porpoising) than for those in the sea-ice region (3.0+/-2.3 % resting and 0 % porpoising; means +/- S.D., N = 7 for the sea-ice region, N = 4 for the ice-free region). Using this new approach, further studies combining the monitoring of marine resources in different Antarctic sites and the measurement of the energy expenditure of foraging penguins, e.g., using heart rates, will constitute a powerful tool for investigating the effects of environmental conditions on their foraging strategy. This technique will expand our ability to monitor many animals in the field.</t>
  </si>
  <si>
    <t>Kyoto Univ, Grad Sch Sci, Dept Zool, Sakyo Ku, Kyoto 6068502, Japan; Grad Univ Adv Studies, Natl Inst Polar Res, Dept Polar Sci, Tokyo 1738515, Japan; Univ Tokyo, Ocean Res Inst, Tokyo 1468639, Japan; Port Nagoya Publ Aquarium, Nagoya, Aichi 4550033, Japan; CNRS, Ctr Ecol &amp; Physiol Energet, F-67087 Strasbourg, France</t>
  </si>
  <si>
    <t>Kyoto University; Research Organization of Information &amp; Systems (ROIS); National Institute of Polar Research (NIPR) - Japan; Graduate University for Advanced Studies - Japan; University of Tokyo; Universites de Strasbourg Etablissements Associes; Universite de Strasbourg; Centre National de la Recherche Scientifique (CNRS)</t>
  </si>
  <si>
    <t>Kyoto Univ, Grad Sch Sci, Dept Zool, Sakyo Ku, Kyoto 6068502, Japan.</t>
  </si>
  <si>
    <t>yoda@ci.zool.kyoto-u.ac.jp</t>
  </si>
  <si>
    <t>Nishikawa, Jun/AAE-5355-2020</t>
  </si>
  <si>
    <t>Nishikawa, Jun/0000-0003-1044-0600</t>
  </si>
  <si>
    <t>WOS:000167441000007</t>
  </si>
  <si>
    <t>North, AW</t>
  </si>
  <si>
    <t>Early life history strategies of notothenioids at South Georgia</t>
  </si>
  <si>
    <t>Notothenioidei; life history strategies; Antarctic</t>
  </si>
  <si>
    <t>GOBIONOTOTHEN-GIBBERIFRONS; FISH; SUMMER; GROWTH; SIZE</t>
  </si>
  <si>
    <t>Antarctic notothenioid early life history strategies are examined in general and then for common species at South Georgia. Channichthyids, bathydraconids, artedidraconids and some nototheniids have large eggs 3.0-4.9 mm whereas other nototheniids and harpagiferids have smaller eggs 1.6-2.7 mm. At South Georgia the larvae of species with large eggs hatched between August (late winter) and late November (late spring) at 11-16 mm standard length (L-s). Larvae of species with small eggs hatched mainly during October and December at 4.5-9 mm L-s. Most of the larvae of all species attain urostyle flexion between October and January, and develop to the end of the larval stage between November and May. The duration of the larval stage varies from 2 months in species with smaller larvae to 6 months for some of the species with larger larvae. Two nototheniid species develop to the early juvenile stage before a channichthyid and a bathydraconid that hatch around 2 months earlier. During their first winter, the early-juveniles of most species with large eggs are pelagic, whereas those of species with small eggs may be pelagic or demersal. Four groups of strategies are proposed based on egg size and the winter ecotype of the early-juvenile stage. (C) 2001 The Fisheries Society of the British Isles.</t>
  </si>
  <si>
    <t>awno@bas.ac.uk</t>
  </si>
  <si>
    <t>10.1006/jfbi.2000.1469</t>
  </si>
  <si>
    <t>405ZC</t>
  </si>
  <si>
    <t>WOS:000167189600014</t>
  </si>
  <si>
    <t>Thorolfsson, A; Cerisier, JC; Pinnock, M</t>
  </si>
  <si>
    <t>Flow transients in the postnoon ionosphere: The role of solar wind dynamic pressure</t>
  </si>
  <si>
    <t>FLUX-TRANSFER EVENTS; INTERPLANETARY MAGNETIC-FIELD; TRAVELING CONVECTION VORTICES; HIGH-LATITUDE CONVECTION; DAYSIDE AURORAL ACTIVITY; POLAR ELECTRIC-FIELDS; ENHANCED CONVECTION; BOUNDARY-LAYER; TWIN VORTICES; PLASMA SHEET</t>
  </si>
  <si>
    <t>Super Dual Auroral Radar Network (SuperDARN) HF radar, magnetometer, and satellite data are used to study ionospheric convection flow bursts in the sunward return flow in the 1200-1500 MLT auroral region. A comparison between the latitudinal position of the flow bursts and the position of the open/closed field line boundary shows that the sunward bursts occur on closed field lines. The bursts occur simultaneously with poleward motions of the convection reversal. boundary. Decreases in the solar wind dynamic pressure are shown to correlate well with the flow bursts. Comparison of radar and magnetometer da,ta shows tl-lat these observations can be explained in terms of the global current model proposed for sudden expansions of the magnetosphere [Araki and Nagano, 1988]. The sunward flow bursts are shown to be consistent with tie high-latitude dusk to dawn electric field predicted by the model during pressure decreases.</t>
  </si>
  <si>
    <t>CETP, F-94107 St Maur, France; British Antarctic Survey, Nat Environm Res Council, Cambridge CB3 0ET, England; Univ Paris 06, Paris, France</t>
  </si>
  <si>
    <t>UK Research &amp; Innovation (UKRI); Natural Environment Research Council (NERC); NERC British Antarctic Survey; Sorbonne Universite</t>
  </si>
  <si>
    <t>Thorolfsson, A (corresponding author), CETP, 4 Ave Neptune, F-94107 St Maur, France.</t>
  </si>
  <si>
    <t>thorolfs@cetp.ipsl.fr</t>
  </si>
  <si>
    <t>A2</t>
  </si>
  <si>
    <t>10.1029/2000JA900078</t>
  </si>
  <si>
    <t>395HV</t>
  </si>
  <si>
    <t>WOS:000166575700013</t>
  </si>
  <si>
    <t>Hawes, I; Schwarz, AMJ</t>
  </si>
  <si>
    <t>Absorption and utilization of irradiance by cyanobacterial mats in two ice-covered Antarctic lakes with contrasting light climates</t>
  </si>
  <si>
    <t>Antarctic lakes; cyanobacterial mats; light absorption; light utilization; photosynthesis</t>
  </si>
  <si>
    <t>MCMURDO DRY VALLEYS; COMMUNITY STRUCTURE; MICROBIAL MATS; WATER COLUMN; PHOTOSYNTHESIS; PHYTOPLANKTON; HOARE; FLUORESCENCE; SEDIMENTS; PIGMENT</t>
  </si>
  <si>
    <t>We investigated the under-ice light climate and the efficiency with which light was absorbed and utilized by benthic algal mats in Lakes Hoare and Vanda, two perennially ice-covered lakes in the McMurdo Dry Valleys area of Southern Victoria Land, Antarctica. The ice cover and water column of Lake Vanda were much more transparent than those of Lake Hoare (18% vs. 2% transmission though ice and attenuation coefficients for downwelling irradiance of 0.05 vs. 0.12 m(-1), respectively). In both lakes the under-ice spectra were dominated by blue-green wavelengths. The benthic flora under perennial ice covers of both lakes comprised thick mucilaginous mats, dominated by cyanobacteria. The mats were well suited to absorb the dominant blue-green wavelengths of the under-ice light, with phycoerythrin being present at high concentrations. The pigment systems of the benthic mats absorbed 30%-50% of the light that reached them, varying with depth and lake. There was a tendency for the percentage of absorption to increase as ambient irradiance decreased. The efficiency of utilization of absorbed irradiance was examined by constructing absorbed irradiance/oxygen evolution curves to estimate community quantum yield. Mats from 13 m in Lake Hoare showed the highest quantum yields, approaching 1 mol of carbon fixed for every 8 mol quanta absorbed under Light-limiting conditions. Lake Vanda mats had lower quantum yields, but these increased with depth. Calculated in situ irradiance occasionally exceeded the measured saturating irradiance for oxygen evolution in both lakes, thus efficiency in situ was below the maximum at times. As in other environments, optimization strategies allowed efficient capture and utilization of the lower and middle ranges of experienced irradiance but led to a compromised capacity to use the highest irradiances encountered at each depth.</t>
  </si>
  <si>
    <t>Natl Inst Water &amp; Aquat Res, Christchurch, New Zealand</t>
  </si>
  <si>
    <t>Hawes, I (corresponding author), Natl Inst Water &amp; Aquat Res, POB 8602, Christchurch, New Zealand.</t>
  </si>
  <si>
    <t>Hawes, Ian/0000-0003-2471-6903</t>
  </si>
  <si>
    <t>10.1046/j.1529-8817.1999.014012005.x</t>
  </si>
  <si>
    <t>408BX</t>
  </si>
  <si>
    <t>WOS:000167307600001</t>
  </si>
  <si>
    <t>Ling, HU</t>
  </si>
  <si>
    <t>Snow algae of the Windmill Islands, continental Antarctica:: Desmotetra aureospora, sp nov and D-antarctica, comb. nov (Chlorophyta)</t>
  </si>
  <si>
    <t>Antarctica; Chlorophyceae; Desmotetra; new species; snow algae</t>
  </si>
  <si>
    <t>GREEN-ALGAE; COMPARATIVE ULTRASTRUCTURE; VOLVOCALES</t>
  </si>
  <si>
    <t>Two cryophilic Desmotetra species, D, aureospora, sp, nov., and D. antarctica (Fritsch) Ling appear to be unique to the southern hemisphere snow ecosystem, or at least to the Windmill Island region, Antarctica. They have not been encountered in previous extensive studies of the Arctic and northern alpine regions. Also unusual are the higher pH (6.8 and 7.8) and conductivities of 279 muS.cm(-1) and 426 muS.cm(-1) for habitat conditions of D, antarctica that can be attributed to the influence of penguin guano, Both species are characterized by cells enveloped in individual mucilage layers, 1-3 contractile vacuoles, and a cup-shaped chloroplast containing a diffuse pyrenoid, The cells divided in three planes to form cubical loosely aggregated green cell packages embedded in mucilage, Vegetative cells of the two species cannot be distinguished with certainty; however, their zygospores are very different. Desmotetra aureospora has spherical, smooth-walled, golden zygospores, whereas D antarctica has pale, yellow green, aereolate zygospores, Mucilage stalk morphology of cells in stationary-phase cultures can also be used to separate the two species, Zygospores of D. antarctica have previously been identified as the snow alga Trochiscia antarctica Fritsch, Both species are currently maintained in culture at the Australian Antarctic Division, The cultures did not grow at temperatures above 15 degrees C, The two species are compared with the soil alga D, stigmatica (Deason) Deason et Floyd, the only other species in the genus, and also with Chlorosarcina stigmatica Deason strain T105, Results show that the three Desmotetra species form a natural group and that the absence or presence of a wall on the zoospore is of dubious value in classifications of green algal taxa above the species level.</t>
  </si>
  <si>
    <t>Antarctic Div, Kingston, Tas 7050, Australia</t>
  </si>
  <si>
    <t>Ling, HU (corresponding author), Antarctic Div, Kingston, Tas 7050, Australia.</t>
  </si>
  <si>
    <t>10.1046/j.1529-8817.2001.037001160.x</t>
  </si>
  <si>
    <t>WOS:000167307600017</t>
  </si>
  <si>
    <t>Tai, V; Lindstrom, SC; Saunders, GW</t>
  </si>
  <si>
    <t>Phylogeny of the Dumontiaceae (Gigartinales, Rhodophyta) and associated families based on SSU rDNA and internal transcribed spacer sequence data</t>
  </si>
  <si>
    <t>Acrosymphyton; Dumontia alaskana; Dumontia contorta; Dumontiaceae; Gainiaceae; Gigartinales; molecular systematics; phylogeny; Rhodopeltis</t>
  </si>
  <si>
    <t>RIBOSOMAL-RNA GENE; SMALL-SUBUNIT; ORD-NOV; NUCLEOTIDE-SEQUENCES; RED ALGAE; RHODYMENIALES RHODOPHYTA; PLASTID RBCL; GELIDIALES; REPRESENTATIVES; INFERENCES</t>
  </si>
  <si>
    <t>Small subunit (SSU) rDNA was sequenced for 25 species in 19 genera of the Gigartinales (Rhodophyta), As well, the internal transcribed spacer (ITS) region was sequenced, and a data matrix of 36 morphological characters was constructed for 16 species of Dumontiaceae. Phylogenetic trees were calculated from a multiple alignment of the SSU sequence data to infer relationships between species of Dumontiaceae and other gigartinalean taxa, The SSU analysis produced a polyphyletic Dumontiaceae, Notably, Acrosymphyton failed to associate with the included Gigartinales, let alone the Dumontiaceae, supporting an earlier proposal to remove it to a new family. The analyses were equivocal about the phylogenetic affinities of Dudresnaya, which clustered with the Kallymeniaceae, and the affinities of the Indo-West Pacific Gibsmithia, Kraftia, and Dasyphloea, the last-mentioned clustering with the Antarctic Gainiaceae, and these four taxa with Portieria (Rhizophyllidaceae). Further investigations are necessary to resolve relationships among these taxa, Rhodopeltis, a genus recently moved to the Dumontiaceae from the Polyideaceae, showed a weak association with the remaining northern Dumontiaceae, The final group consisted of cold-temperate Northern Hemisphere species. Phylogenetic analyses using a combination of SSU, PTS, and morphological data within this clade produced two strongly supported clades, a Dilsea/Neodilsea clade and a Cryptosiphonia/Dumontia clade, Dilsea is derived from a paraphyletic Neodilsea and may itself be polyphyletic, Atlantic and Pacific isolates of Dumontia contorta clearly showed sufficient divergence to warrant recognition as distinct species, and Dumontia alaskana, sp, nov. is proposed for the Pacific species.</t>
  </si>
  <si>
    <t>Univ New Brunswick, Dept Biol, Fredericton, NB E3B 6E1, Canada; Univ British Columbia, Dept Bot, Vancouver, BC V6T 1Z4, Canada</t>
  </si>
  <si>
    <t>University of New Brunswick; University of British Columbia</t>
  </si>
  <si>
    <t>Saunders, GW (corresponding author), Univ New Brunswick, Dept Biol, Fredericton, NB E3B 6E1, Canada.</t>
  </si>
  <si>
    <t>Saunders, Gary/D-8767-2014</t>
  </si>
  <si>
    <t>Saunders, Gary/0000-0003-4813-6831</t>
  </si>
  <si>
    <t>10.1046/j.1529-8817.2001.037001184.x</t>
  </si>
  <si>
    <t>WOS:000167307600019</t>
  </si>
  <si>
    <t>Roscoe, HK; Hill, JGT; Jones, AE; Sarkissian, A</t>
  </si>
  <si>
    <t>Improvements to the accuracy of zenith-sky measurements of total ozone by visible spectrometers II: use of daily air-mass factors</t>
  </si>
  <si>
    <t>JOURNAL OF QUANTITATIVE SPECTROSCOPY &amp; RADIATIVE TRANSFER</t>
  </si>
  <si>
    <t>ozone; air-mass factor; accuracy</t>
  </si>
  <si>
    <t>RADIATIVE-TRANSFER MODELS; VALIDATION; NO2</t>
  </si>
  <si>
    <t>Ozone at Faraday in Antarctica is measured by a ground-based visible spectrometer. Total ozone is deduced from the slant column measurements by means of calculated air-mass factors (AMFs), which have now been calculated for each month of the observations with a mixture of climatological and measured parameters as input. The intercepts of Langley plots using these AMFs had less seasonal variability than hitherto, but the ratio of total ozone to that measured by the Dobson at Faraday still showed a significant dependence on season and on presence of the ozone hole. This latter dependence was reduced by blending ozone-hole AMFs on appropriate days, resulting in ratios which vary by less than +/- 9% over the three years of observations. When using these daily AMFs, we estimate the potential for errors in seasonal trends in total ozone at less than 6%/month in the worst-case outside ozone-hole break-up, with a more usual value between 2 and 3%/month. There remain clear artifacts due to the ozone hole and to summer-winter differences, which cannot be resolved without new ozone-sonde flights. (C) 2000 Elsevier Science Ltd. All rights reserved.</t>
  </si>
  <si>
    <t>British Antarctic Survey, NERC, Cambridge CB3 03T, England; CNRS, Serv Aeron, Verrieres, France</t>
  </si>
  <si>
    <t>UK Research &amp; Innovation (UKRI); Natural Environment Research Council (NERC); NERC British Antarctic Survey; Centre National de la Recherche Scientifique (CNRS)</t>
  </si>
  <si>
    <t>Roscoe, HK (corresponding author), British Antarctic Survey, NERC, Madingley Rd, Cambridge CB3 03T, England.</t>
  </si>
  <si>
    <t>0022-4073</t>
  </si>
  <si>
    <t>J QUANT SPECTROSC RA</t>
  </si>
  <si>
    <t>J. Quant. Spectrosc. Radiat. Transf.</t>
  </si>
  <si>
    <t>10.1016/S0022-4073(00)00057-1</t>
  </si>
  <si>
    <t>Optics; Spectroscopy</t>
  </si>
  <si>
    <t>374NE</t>
  </si>
  <si>
    <t>WOS:000165350600006</t>
  </si>
  <si>
    <t>Roscoe, HK; Charlton, AJ; Fish, DJ; Hill, JGT</t>
  </si>
  <si>
    <t>Improvements to the accuracy of measurements of NO2 by zenith-sky visible spectrometers II:: errors in zero using a more complete chemical model</t>
  </si>
  <si>
    <t>NO2; visible; accuracy</t>
  </si>
  <si>
    <t>OZONE</t>
  </si>
  <si>
    <t>Using a flexible chemical box model with full heterogeneous chemistry, intercepts of chemically modified Langley plots have been computed for the 5 years of zenith-sky NO2 data from Faraday in Antarctica (65 degreesS). By using these intercepts as the effective amount in the reference spectrum. drifts in zero of total vertical NO2 were much reduced. The error in zero of total NO2 is +/- 0.03 x 10(15) melee cm(-2) from one year to another. This error is small enough to determine trends in midsummer and any variability in denoxification between midwinters. The technique also suggests a more sensitive method for determining N2O5 from zenith-sky NO2 data. (C) 2000 Elsevier Science Ltd. All rights reserved.</t>
  </si>
  <si>
    <t>British Antarctic Survey, NERC, Cambridge CB3 0ET, England; Univ Cambridge, Dept Chem, Cambridge Ctr Atmospher Sci, Cambridge CB2 1EW, England; Univ Reading, Dept Meteorol, Reading RG6 6BB, Berks, England</t>
  </si>
  <si>
    <t>UK Research &amp; Innovation (UKRI); Natural Environment Research Council (NERC); NERC British Antarctic Survey; University of Cambridge; University of Reading</t>
  </si>
  <si>
    <t>Roscoe, HK (corresponding author), British Antarctic Survey, NERC, Madingley Rd, Cambridge CB3 0ET, England.</t>
  </si>
  <si>
    <t>Charlton-Perez, Andrew/F-4079-2010</t>
  </si>
  <si>
    <t>Charlton-Perez, Andrew/0000-0001-8179-6220</t>
  </si>
  <si>
    <t>10.1016/S0022-4073(00)00058-3</t>
  </si>
  <si>
    <t>WOS:000165350600007</t>
  </si>
  <si>
    <t>Bluhm, BA; Brey, T</t>
  </si>
  <si>
    <t>Age determination in the Antarctic shrimp Notocrangon antarcticus (Crustacea: Decapoda), using the autofluorescent pigment lipofuscin</t>
  </si>
  <si>
    <t>EASTERN WEDDELL SEA; FRESH-WATER CRAYFISH; SIZE-FREQUENCY DATA; FLUORESCENT MORPHOLOGICAL LIPOFUSCIN; PENGUINS APTENODYTES-FORSTERI; LOBSTERS PANULIRUS-CYGNUS; HOMARUS-GAMMARUS; SPATIAL-DISTRIBUTION; PANDALUS-BOREALIS; EMPEROR PENGUINS</t>
  </si>
  <si>
    <t>Determination of basic population parameters in long-lived Crustacea is hindered by a lack of appropriate methods for age determination. This study uses the pigment lipofuscin as an age marker in the common Antarctic decapod Notocrangon antarcticus (Pfeffer, 1887) from the eastern Weddell Sea. Resin brain sections of the lateral somacluster of the olfactory lobe of 189 specimens were digitally recorded by confocal microscopy and images were subsequently analyzed. A modal progression analysis of the lipofuscin concentration-frequency distribution revealed a total of eight regularly spaced modes presumed to reflect consecutive annual age classes. All eight modes contained females, and the first four contained males. No regular modes were obvious in the comparable length-frequency distribution. The average yearly pigment accumulation was nearly linear and estimated as 0.02% area fraction year, which is considerably lower than rates published for species from lower latitudes. This is probably explained by the effect of low water temperature on metabolism and lipofuscin accumulation rate. The growth parameters CLinfinity and k from the von Bertalanffy growth function were 22.3 mm and 0.79 year(-1) for females, respectively, and 16.9 mm and 0.64 year(-1) for males, respectively. Mortality, estimated from catch curves amounted to 0.44 year(-1) in females and 0.92 year(-1) in males, whereas PIE, calculated from the mass specific growth rate method, was slightly lower. The results indicate that the lipofuscin-inferred population parameters are an improvement over what can be learned about N. antarcticus with traditional methods.</t>
  </si>
  <si>
    <t>Alfred Wegener Inst Polar &amp; Marine Res, Columbusstr 27515, D-27515 Bremerhaven, Germany.</t>
  </si>
  <si>
    <t>bbluhm@awi-bremerhaven.de</t>
  </si>
  <si>
    <t>10.1007/s002270000458</t>
  </si>
  <si>
    <t>406BB</t>
  </si>
  <si>
    <t>WOS:000167194100003</t>
  </si>
  <si>
    <t>Adams, NL; Shick, JM; Dunlap, WC</t>
  </si>
  <si>
    <t>Selective accumulation of mycosporine-like amino acids in ovaries of the green sea urchin Strongylocentrotus droebachiensis is not affected by ultraviolet radiation</t>
  </si>
  <si>
    <t>ANTARCTIC MARINE ORGANISMS; CORAL-REEF ORGANISMS; UV-B; ABSORBING COMPOUNDS; NATURAL-WATERS; MAAS; SENSITIVITY; PROTECTION; EGGS; GAMETOGENESIS</t>
  </si>
  <si>
    <t>Field sampling and laboratory experiments examined whether ultraviolet radiation (UVR) affects the reproduction or the accumulation of mycosporine-like amino acids (MAAs) and ascorbic acid in ovaries of the green sea urchin Strongylocentrotus droebachiensis (Muller). Ovaries of sea urchins sampled across a depth gradient (0.5-10 m) in March 1998 did not differ in their gonadal index, or in concentrations of MAAs, or ascorbic acid. Concentrations of MAAs and ascorbic acid in ovaries were higher in sea urchins collected from a kelp bed compared with those collected from a community of crustose coralline algae. The concentrations of MAAs in ovaries varied seasonally, peaking in March, when sea urchins had high gonadal indices just before spawning. Ovaries of sea urchins maintained on controlled diets from October 1997 to April 1998 accumulated significantly higher concentrations of MAAs when fed a diet rich in MAAs than did ovaries of sea urchins fed an alga lacking MAAs, but the gonadal indices did not differ between diets. Sea urchins accumulated principally one MAA, shinorine, but not others that were available in high concentrations in their diet. Neither the gonadal index nor the ovarian concentrations of MAAs were affected by daily exposure of adult urchins to UVR for 6 months. Concentrations of ascorbic acid in ovaries did not differ among diets or UV-treatments. The percentages of nutritive phagocytes and gametic cells were not affected by diet or UVR, and did not co-vary with concentrations of MAAs or ascorbic acid in ovaries. These data support previous demonstrations that female sea urchins accumulate MAAs from their diet of macroalgae, but further show that the accumulation is selective for specific MAAs, particularly shinorine, and that adult S. droebachiensis do not accumulate MAAs in their ovaries or eggs in response to UV-exposure. These are also the first experimental studies to address whether MAAs are affected by or regulate gametogenesis, and indicate that they do not.</t>
  </si>
  <si>
    <t>Univ Maine, Dept Biol Sci, Orono, ME 04469 USA; Australian Inst Marine Sci, Townsville, Qld 4810, Australia</t>
  </si>
  <si>
    <t>University of Maine System; University of Maine Orono; Australian Institute of Marine Science</t>
  </si>
  <si>
    <t>Adams, NL (corresponding author), Univ Calif Santa Barbara, Inst Marine Sci, Santa Barbara, CA 93106 USA.</t>
  </si>
  <si>
    <t>10.1007/s002270000464</t>
  </si>
  <si>
    <t>WOS:000167194100006</t>
  </si>
  <si>
    <t>Hunt, BPV; Pakhomov, EA; McQuaid, CD</t>
  </si>
  <si>
    <t>Short-term variation and long-term changes in the oceanographic environment and zooplankton community in the vicinity of a sub-Antarctic archipelago</t>
  </si>
  <si>
    <t>PRINCE-EDWARD-ISLANDS; POLAR FRONTAL ZONE; SOUTHERN-OCEAN; PHYTOPLANKTON BIOMASS; ATLANTIC SECTOR; INDIAN-OCEAN; SEA; MESOZOOPLANKTON; ASSEMBLAGES; VARIABILITY</t>
  </si>
  <si>
    <t>Mesozooplankton community structure in the vicinity of the Prince Edward Islands (PEIs) was investigated during six surveys conducted in late austral summer (April/May) from 1996 to 1999. Zooplankton samples were collected by oblique tows using a Bongo net fitted with 300-mum mesh. Surface temperature, average temperature and chlorophyll a were measured in conjunction with each net tow. The positions of the Sub-Antarctic Front (SAF) and the Antarctic Polar Front (APF), in relation to the islands, were determined by CTD and/or XBT transects to the west of the islands (upstream). Both fronts were characterized by a high degree of latitudinal variation. Changes in position of the fronts occurred rapidly, the SAF moving up to similar to 120 km in a 2-week period. Consequently, the oceanographic environment in the vicinity of the PEIs was subject to a high degree of intra- and inter-survey variation. The positions of the SAF and APF appeared to have a significant impact on phytoplankton biomass in the vicinity of the PEIs, possibly through the alteration of local oceanographic flow dynamics. Water retention over the island shelf in 1996, associated with location of the SAF far to the north of the PEIs, corresponded to enhanced chlorophyll-a concentrations (similar to1.54 mg m(-3)). Conversely, when the fronts were close to the islands, as in 1997 and 1999, higher current velocity limited water retention and chlorophyll-a concentrations in the interisland region were relatively low (similar to0.4 mg m(-3)). Cluster analyses showed that, in many instances, there was greater similarity among zooplankton communities from different surveys than among communities within surveys, indicating that short-term variability exceeded inter-annual variability. The population structure of the copepod Calanus simillimus indicated that there was inter-annual variation in the timing of the biological season. Differences in the population structure of species, and consequently their contribution to abundance and biomass, may therefore have been an important contributor to inter-annual variation in community structure. Evidence is provided of a long-term southward shift in the position of the SAF. It is postulated that this may affect the PEIs by increasing the proportion of allochthonous energy input, because the PEIs now lie in the path of the front, altering the trophodynamics of the island ecosystem. Lower mesozooplankton biomass associated with warmer sub-Antarctic water may have important negative consequences for higher trophic levels that depend on mesozooplankton for food.</t>
  </si>
  <si>
    <t>Rhodes Univ, Dept Zool &amp; Entomol, SE Ocean Grp, ZA-6140 Grahamstown, South Africa</t>
  </si>
  <si>
    <t>Pakhomov, EA (corresponding author), Rhodes Univ, Dept Zool &amp; Entomol, SE Ocean Grp, POB 94, ZA-6140 Grahamstown, South Africa.</t>
  </si>
  <si>
    <t>e.pakhomov@ru.ac.za</t>
  </si>
  <si>
    <t>McQuaid, Christopher/AAT-3725-2020</t>
  </si>
  <si>
    <t>McQuaid, Christopher/0000-0002-3473-8308</t>
  </si>
  <si>
    <t>10.1007/s002270000467</t>
  </si>
  <si>
    <t>WOS:000167194100013</t>
  </si>
  <si>
    <t>Taylor, F; Whitehead, J; Domack, E</t>
  </si>
  <si>
    <t>Holocene paleoclimate change in the Antarctic Peninsula: evidence from the diatom, sedimentary and geochemical record</t>
  </si>
  <si>
    <t>Holocene; Antarctica; paleoclimate; diatoms; sedimentology; statistical analysis</t>
  </si>
  <si>
    <t>SEA-ICE EDGE; WEDDELL SEA; SURFACE SEDIMENTS; ROSS SEA; PRYDZ BAY; PHYTOPLANKTON BLOOM; GENUS THALASSIOSIRA; SOUTH GEORGIA; ELLIS FJORD; PACK ICE</t>
  </si>
  <si>
    <t>Holocene. marine deposition in Lallemand Fjord. Antarctic: Peninsula, is reinterpreted using statistical analyses (cluster analysis, analysis of variance, nonmetric multidimensional scaling and multiple regression) to compare diatom assemblages and the primary sedimentological proxies. The assemblages have been deposited in a variable sea ice zone over the lust ca. 10.500 yr BP in response to a climate change. In the Late Pleistocene/early Holocene (10,580-7890 yr BP), a sea ice diatom assemblage was deposited in the presence of a retreating ice shelf at the head of the fjord. In the mid Holocene (7890-3850 yr BP), an open water assemblage was deposited and sea ice cover was at a minimum. We associate the assemblage with climatic warming, which characterizes much of the Antarctic Peninsula during this rime. A second sea ice assemblage, different from that deposited in the early Holocene, has been deposited in Lallemand Fjord since the late Holocene (&lt;3850 yr BP). The assemblage reflects Neoglacial cooling, an increase in sea ice extent and/or an advance of the Muller Ice Shelf. (C) 2001 Elsevier Science B.V. All rights reserved.</t>
  </si>
  <si>
    <t>Univ Tasmania, Inst Antarctic &amp; So Ocean Studies, Antarctic Cooperat Res Ctr, Hobart, Tas 7001, Australia; Hamilton Coll, Dept Geol, Clinton, NY 13323 USA</t>
  </si>
  <si>
    <t>University of Tasmania; Hamilton College</t>
  </si>
  <si>
    <t>Univ Tasmania, Inst Antarctic &amp; So Ocean Studies, Antarctic Cooperat Res Ctr, GPO Box 252-80, Hobart, Tas 7001, Australia.</t>
  </si>
  <si>
    <t>fiona_taylor72@hotmail.com; jm_whitehead@hotmail.com; edomack@hamilton.edu</t>
  </si>
  <si>
    <t>10.1016/S0377-8398(00)00049-9</t>
  </si>
  <si>
    <t>403GK</t>
  </si>
  <si>
    <t>WOS:000167034000003</t>
  </si>
  <si>
    <t>Welten, KC; Nishiizumi, K; Masarik, J; Caffee, MW; Jull, AJT; Klandrud, SE; Wieler, R</t>
  </si>
  <si>
    <t>Cosmic-ray exposure history of two Frontier Mountain H-chondrite showers from spallation and neutron-capture products</t>
  </si>
  <si>
    <t>NON-ANTARCTIC METEORITES; COSMOGENIC NUCLIDES; PRODUCTION-RATES; IRON-METEORITES; CL-36; CA-41; AMS; STONY; AGES; DISTRIBUTIONS</t>
  </si>
  <si>
    <t>We measured the concentrations of Be-10, Al-26, Cl-36, Ca-41 and C-14 in the metal and/or stone fractions of 27 Antarctic chondrites from Frontier Mountain (FRO), including two large H-chondrite showers. To estimate the pre-atmospheric size of the two showers, we determined the contribution of neutron-capture produced Cl-36 (half-lift: = 3.01 x 10(5) years) and Ca-41(1.04 x 10(5) years) in the stone fraction. The measured activities of neutron-capture Cl-36 and 41Ca, as well as spallation produced Be-10 and Al-26, were compared with Monte Carlo-based model calculations. The largest shower, FRO 90174, includes eight fragments with an average terrestrial age of(100 +/- 30) x 10(3) years; the neutron-capture saturation activities extend to 27 dpm/kg stone for Cl-36 and 19 dpm/kg stone for 41Ca. The concentrations of spallation produced Be-10, Al-26 and Cl-36 constrain the radius (R) to 80-100 cm, while the neutron-capture Ca-41 activities indicate that the samples originated from the outer 25 cm. With a pre-atmospheric radius of 80-100 cm, FRO 90174 is among the largest of the Antarctic stony meteorites. The large pre-atmospheric size supports our hypothesis that at least 50 of the similar to 150 classified H5/H6-chondrites from the Frontier Mountain stranding area belong to this single fall; this hypothesis does not entirely account for the high H/L ratio at Frontier Mountain. The smaller shower, FRO 90001, includes four fragments with an average terrestrial age of (40 +/- 10) x 10(3) years; they contain small contributions of neutron-capture Cl-36, but no excess of Ca-41. FRO 90001 experienced a complex exposure history with high shielding conditions in the first stage (150 &lt; R &lt; 300 cm) and much lower shielding in the second stage (R &lt; 30 cm), the latter starting 1.0 million years (Ma) ago. Based on the measured Be-10/Ne-21 and Al-26/Ne-21 ratios, the cosmic-ray exposure ages of the two showers are 7.2 +/- 0.5 Ma for FRO 90174 and 8 +/- 1 Ma for FRO 90001. These ages coincide with the well-established H-chondrite peak and corroborate the observation that the exposure age distribution of FRO H-chondrites is similar to that of non-Antarctic falls. In addition, we found that corrections for neutron-capture Ar-36 (from decay of Cl-36) result in concordant Ne-21 and Ar-38 exposure ages.</t>
  </si>
  <si>
    <t>Univ Calif Berkeley, Space Sci Lab, Berkeley, CA 94720 USA; Univ Calif Lawrence Livermore Natl Lab, Geosci &amp; Environm Technol Div, Livermore, CA 94550 USA; Univ Arizona, NSF Arizona AMS Lab, Tucson, AZ 85721 USA; ETH Zurich, CH-8092 Zurich, Switzerland</t>
  </si>
  <si>
    <t>University of California System; University of California Berkeley; United States Department of Energy (DOE); Lawrence Livermore National Laboratory; University of California System; National Science Foundation (NSF); University of Arizona; Swiss Federal Institutes of Technology Domain; ETH Zurich</t>
  </si>
  <si>
    <t>Welten, KC (corresponding author), Univ Calif Berkeley, Space Sci Lab, Berkeley, CA 94720 USA.</t>
  </si>
  <si>
    <t>masarik, jozef/IRZ-6697-2023; Masarik, Jozef/A-8008-2018; Wieler, Rainer/A-1355-2010</t>
  </si>
  <si>
    <t>Wieler, Rainer/0000-0001-5666-7494; Welten, Kees/0000-0001-8577-6753</t>
  </si>
  <si>
    <t>0026-1114</t>
  </si>
  <si>
    <t>10.1111/j.1945-5100.2001.tb01872.x</t>
  </si>
  <si>
    <t>414EK</t>
  </si>
  <si>
    <t>WOS:000167652800011</t>
  </si>
  <si>
    <t>Gemmell, NJ; Burg, TM; Boyd, IL; Amos, W</t>
  </si>
  <si>
    <t>Low reproductive success in territorial male Antarctic fur seals (Arctocephalus gazella) suggests the existence of alternative mating strategies</t>
  </si>
  <si>
    <t>fur seal; mating system; microsatellites; paternity analysis; pinniped; reproductive strategies</t>
  </si>
  <si>
    <t>PHOCA-VITULINA; HALICHOERUS-GRYPUS; DNA; PATERNITY; BEHAVIOR; LOCI</t>
  </si>
  <si>
    <t>Microsatellites were used to conduct an analysis of paternity of Antarctic fur seals (Arctocephalus gazella) from Bird Island, South Georgia. At most, only 28% of pups at our study site could be assigned a father, even though the majority (similar to 90%) of candidate males within this colony were sampled. The behavioural and genetic evidence from this study suggests that a number of alternative mating strategies may exist within this fur seal population. Holding a land-based territory conferred an advantage to male reproductive success. However, this advantage was much smaller than expected from behavioural observations. At least 70% of fur seal pups born at our study site in a given year are not fathered by males who held a territory or were observed copulating with females in the previous year, implying that there exists a pool of males that seldom venture ashore at this site. To explain this discrepancy we suggest that female choice is an integral component of the Antarctic fur seal mating system and that aquatic mating may play a much larger role in the Antarctic fur seal than previously thought.</t>
  </si>
  <si>
    <t>Univ Cambridge, Dept Zool, Cambridge CB2 3EJ, England; Univ Canterbury, Dept Zool, Christchurch 1, New Zealand; British Antarctic Survey, NERC, Cambridge CB3 0ET, England</t>
  </si>
  <si>
    <t>University of Cambridge; University of Canterbury; UK Research &amp; Innovation (UKRI); Natural Environment Research Council (NERC); NERC British Antarctic Survey</t>
  </si>
  <si>
    <t>n.gemnlell@zool.canterbury.ac.nz</t>
  </si>
  <si>
    <t>Gemmell, Neil/C-6774-2009</t>
  </si>
  <si>
    <t>Gemmell, Neil/0000-0003-0671-3637</t>
  </si>
  <si>
    <t>10.1046/j.1365-294x.2001.01186.x</t>
  </si>
  <si>
    <t>416KJ</t>
  </si>
  <si>
    <t>WOS:000167779400016</t>
  </si>
  <si>
    <t>López-García, P; Rodríguez-Valera, F; Pedrós-Alió, C; Moreira, D</t>
  </si>
  <si>
    <t>Unexpected diversity of small eukaryotes in deep-sea Antarctic plankton</t>
  </si>
  <si>
    <t>EVOLUTION; PHYLOGENY; SEQUENCES; ARCHAEA</t>
  </si>
  <si>
    <t>Phylogenetic information from ribosomal RNA genes directly amplified from the environment changed our view of the biosphere, revealing an extraordinary diversity of previously undetected prokaryotic lineages. Using ribosomal RNA genes from marine picoplankton, several new groups of bacteria and archaea have been identified, some of which are abundant2-4. Little is known, however, about the diversity of the smallest planktonic eukaryotes, and available information in general concerns the phytoplankton of the euphotic region. Here we recover eukaryotes in the size fraction 0.2-5 mum from the aphotic zone (250-3,000 m deep) in the Antarctic polar front. The most diverse and relatively abundant were two new groups of alveolate sequences, related to dinoflagellates that are found at all studied depths. These may be important components of the microbial community in the deep ocean. Their phylogenetic position suggests a radiation early in the evolution of alveolates.</t>
  </si>
  <si>
    <t>Univ Miguel Hernandez, Div Microbiol, San Juan De Alicante 03550, Spain; CSIC, Inst Ciences Mar, E-08039 Barcelona, Spain</t>
  </si>
  <si>
    <t>Universidad Miguel Hernandez de Elche; Consejo Superior de Investigaciones Cientificas (CSIC); CSIC - Centro Mediterraneo de Investigaciones Marinas y Ambientales (CMIMA); CSIC - Instituto de Ciencias del Mar (ICM)</t>
  </si>
  <si>
    <t>Moreira, D (corresponding author), Univ Miguel Hernandez, Div Microbiol, San Juan De Alicante 03550, Spain.</t>
  </si>
  <si>
    <t>Rodriguez-Valera, Francisco/M-2782-2013; Moreira, David/F-7445-2012; Lopez-Garcia, Purificacion/B-6775-2012; Pedros-Alio, Carlos/H-1222-2011</t>
  </si>
  <si>
    <t>Rodriguez-Valera, Francisco/0000-0002-9809-2059; Moreira, David/0000-0002-2064-5354; Lopez-Garcia, Purificacion/0000-0002-0927-0651; Pedros-Alio, Carlos/0000-0003-1009-4277</t>
  </si>
  <si>
    <t>10.1038/35054537</t>
  </si>
  <si>
    <t>397JJ</t>
  </si>
  <si>
    <t>WOS:000166692300040</t>
  </si>
  <si>
    <t>Photosynthesis in a sub-Antarctic shore-zone lichen</t>
  </si>
  <si>
    <t>Turgidiusculum complicatulum; Mastodia tesselata; lichen photosynthesis; sub-Antarctic; salinity; moisture; temperature; light; inorganic nitrogen; chlorophyll fluorescence</t>
  </si>
  <si>
    <t>ISLAND; GREEN</t>
  </si>
  <si>
    <t>Photosynthetic responses to moisture, light, temperature, salinity and inorganic nitrogen fertilization are reported for a shore-zone lichen Turgidiusculum complicatulum (formerly Mastodia tesselata), a possible recent introduction to sub-Antarctic Marion Island. Optimum moisture contents for net photosynthesis were 225-346% lash free, dry mass). Net CO2 exchange was dominated by a strong temperature dependence of respiration rate. Net photosynthetic rate responded sharply to increasing PPFD and saturated below 300 mu mol m(-2) s(-1), but electron transport rate (ETR) increased up to approx. 900 mu mol m(-2) s(-1) PPFD suggesting that gross photosynthesis responded to light to this level. Nonphotochemical fluorescence quenching increased rapidly with PPFD up to approx. 400 mu mol m(-2) s(-1) and thereafter more slowly. Even at high PPFD (1050 mu mol m(-2) s(-1)) most PSII centres were open. Salinity did not significantly influence CO2 assimilation rate; however, NH4NO3 significantly depressed net photosynthesis rate at all salinities except 100% seawater. ETR and dark respiration rate were increased by NH4NO3. The response of T. complicatulum to light and temperature enables high rates of CO2 assimilation under the island's microclimatic regime; if sufficiently hydrated, the lichen would exhibit near maximal photosynthesis rates for approx. 75% of the photoperiod over the year.</t>
  </si>
  <si>
    <t>vs2@akad.sun.ac.za</t>
  </si>
  <si>
    <t>10.1046/j.1469-8137.2001.00025.x</t>
  </si>
  <si>
    <t>400UV</t>
  </si>
  <si>
    <t>WOS:000166890800014</t>
  </si>
  <si>
    <t>Antarctic sea ice and the control of Pleistocene climate instability</t>
  </si>
  <si>
    <t>A hypothesis is presented for the origin of Pleistocene climate instability, based on expansion of Antarctic sea ice and associated changes in the oceans' salinity structure. The hypothesis assumes that thermohaline overturning is dominated by the reconfigured conveyor of Toggweiler and Samuels [1993b], in which deepwater upwelling is restricted to high southern latitudes. The reconfigured conveyor is shown to be potentially stabilized in an on mode by precipitation at high southern latitudes and potentially destabilized into on and off modes by the counteracting influence of Antarctic sea ice. The mechanism is clarified by the use of a hydraulic analogue. We hypothesize that this mechanism accounts for dominant patterns of thermohaline overturning and climate instability between Pleistocene warm and cold periods. The hypothesis is shown to be consistent with a range of paleoceanographic evidence and to potentially account for details of observed rapid climate changes during glacial and interglacial periods, including aspects of interhemispheric timing.</t>
  </si>
  <si>
    <t>Univ Calif San Diego, Scripps Inst Oceanog, La Jolla, CA 92093 USA; Univ Colorado, NOAA, Cooperat Inst Res Environm Sci, Boulder, CO 80309 USA</t>
  </si>
  <si>
    <t>University of California System; University of California San Diego; Scripps Institution of Oceanography; National Oceanic Atmospheric Admin (NOAA) - USA; University of Colorado System; University of Colorado Boulder</t>
  </si>
  <si>
    <t>10.1029/2000PA000529</t>
  </si>
  <si>
    <t>400KC</t>
  </si>
  <si>
    <t>WOS:000166869900010</t>
  </si>
  <si>
    <t>Xiong, FS; Day, TA</t>
  </si>
  <si>
    <t>Effect of solar ultraviolet-B radiation during springtime ozone depletion on photosynthesis and biomass production of Antarctic vascular plants</t>
  </si>
  <si>
    <t>PLANT PHYSIOLOGY</t>
  </si>
  <si>
    <t>INCREASED UV-B; PHOTOSYSTEM-II; CHLOROPHYLL FLUORESCENCE; DESCHAMPSIA-ANTARCTICA; COLOBANTHUS-QUITENSIS; ABSORBING COMPOUNDS; AMBIENT LEVELS; PEA LEAVES; DNA-DAMAGE; GROWTH</t>
  </si>
  <si>
    <t>We assessed the influence of springtime solar UV-B radiation that was naturally enhanced during several days due to ozone depletion on biomass production and photosynthesis of vascular plants along the Antarctic Peninsula. Naturally growing plants of Colobanthus quitensis (Kunth) Bartl. and Deschampsia antarctica Desv, were potted and grown under filters that absorbed or transmitted most solar UV-B. Plants exposed to solar UV-B from mid-October to early January produced 11% to 22% less total, as well as above ground biomass, and 24% to 31% less total leaf area. These growth reductions did not appear to be associated with reductions in photosynthesis per se: Although rates of photosynthetic O(2) evolution were reduced on a chlorophyll and a dry-mass basis, on a leaf area basis they were not affected by UV-B exposure. Leaves on plants exposed to UV-B were denser, probably thicker, and had higher concentrations of photosynthetic and UV-B absorbing pigments. We suspect that the development of thicker leaves containing more photosynthetic and screening pigments allowed these plants to maintain their photosynthetic rates per unit leaf area. Exposure to UV-B led to reductions in quantum yield of photosystem II, based on fluorescence measurements of adaxial leaf surfaces, and we suspect that UV-B impaired photosynthesis in the upper mesophyll of leaves. Because the ratio of variable to maximal fluorescence, as well as the initial slope of the photosynthetic light response, were unaffected by UV-B exposure, we suggest that impairments in photosynthesis in the upper mesophyll were associated with light-independent enzymatic, rather than photosystem II, limitations.</t>
  </si>
  <si>
    <t>Arizona State Univ, Dept Plant Biol, Tempe, AZ 85827 USA; Arizona State Univ, Photosynth Ctr, Tempe, AZ 85827 USA</t>
  </si>
  <si>
    <t>Arizona State University; Arizona State University-Tempe; Arizona State University; Arizona State University-Tempe</t>
  </si>
  <si>
    <t>Day, TA (corresponding author), Arizona State Univ, Dept Plant Biol, POB 871601, Tempe, AZ 85827 USA.</t>
  </si>
  <si>
    <t>tadday@asu.edu</t>
  </si>
  <si>
    <t>AMER SOC PLANT BIOLOGISTS</t>
  </si>
  <si>
    <t>ROCKVILLE</t>
  </si>
  <si>
    <t>15501 MONONA DRIVE, ROCKVILLE, MD 20855 USA</t>
  </si>
  <si>
    <t>0032-0889</t>
  </si>
  <si>
    <t>PLANT PHYSIOL</t>
  </si>
  <si>
    <t>Plant Physiol.</t>
  </si>
  <si>
    <t>10.1104/pp.125.2.738</t>
  </si>
  <si>
    <t>412FQ</t>
  </si>
  <si>
    <t>WOS:000167544700026</t>
  </si>
  <si>
    <t>Barendse, J; Chown, SL</t>
  </si>
  <si>
    <t>Abundance and seasonality of mid-altitude fellfield arthropods from Marion Island</t>
  </si>
  <si>
    <t>LIFE-HISTORY STRATEGIES; SUB-ANTARCTIC ISLANDS; MOSS-TURF HABITAT; TERRESTRIAL INVERTEBRATES; SOIL ARTHROPODS; SOUTHERN-OCEAN; CLIMATE-CHANGE; COMMUNITIES; ACARI; CURCULIONIDAE</t>
  </si>
  <si>
    <t>Fellfield is an important habitat in both the Antarctic and sub-Antarctic. However, few studies have examined the abundance and seasonality of arthropods in sub-Antarctic fellfield habitats. Here, soil arthropod communities were sampled for over a full year in two distinct habitat components (rocky areas and Azorella selago cushions) in a mid-altitude fellfield on Marion Island. Species richness was relatively high (42 spp.) and consisted almost exclusively of indigenous species. Maximum mean annual density in the A, selago cushions was 16,000 individuals m(-2) for Eupodes Minutus. In contrast, the highest density of any species in the rocky, inter-cushion areas was 700 individuals m(-2) for Halozetes fulvus. Quantitative analyses highlighted prominent differences in arthropod community structure between the two habitat components, despite the fact that most species were common to both of them. In general, arthropod abundances were lower in the fellfield compared with less extreme vegetation types in the sub-Antarctic? but were not dissimilar to those found in fellfield in the maritime Antarctic. In the Marion Island fellfield, arthropods either showed no pronounced seasonal peak in abundance, or a summer peak, although these patterns differed between habitat components within species, and between species. These data provide a firm quantitative foundation for further investigations of community patterns and seasonality in sub-Antarctic fellfield arthropods.</t>
  </si>
  <si>
    <t>Barendse, Jaco/F-7064-2012; Chown, Steven L/H-3347-2011; Chown, Steven/ABD-7646-2021</t>
  </si>
  <si>
    <t>Barendse, Jaco/0000-0003-2859-4501;</t>
  </si>
  <si>
    <t>10.1007/s003000000172</t>
  </si>
  <si>
    <t>395KP</t>
  </si>
  <si>
    <t>WOS:000166579800001</t>
  </si>
  <si>
    <t>Jackson, GD</t>
  </si>
  <si>
    <t>Confirmation of winter spawning of Moroteuthis ingens (Cephalopoda: Onychoteuthidae) in the Chatham Rise region of New Zealand</t>
  </si>
  <si>
    <t>WANDERING ALBATROSSES; SQUID; GONATIDAE; ECOLOGY; FEMALES; WATERS; SEA</t>
  </si>
  <si>
    <t>Specimens of the onychoteuthid squid Moroteuthis ingens were collected on the northwest Chatham Rise off the east coast of New Zealand during late June/early July 1997. Trawl depth ranged between 751 and 1,151 m. A total of 89 squid were captured (65 males, 24 females). Except for one immature (stage 2) female, all the individuals collected were either mature (stage 5) or spent (stage 6). There was no significant difference in testis weight between stage-5 and stage-6 males but there was a significant difference in mantle weight and total weight. There was also a significant difference in ovary weight and total weight between stage-5 and stage-6 females but no significant difference in mantle weight. Female fecundity ranged from 84,379 to 286,795 with a mean oocyte size of 2.1 mm. This study confirms that winter is a spawning period for M. ingens and that the Chatham Rise is a spawning region for this species.</t>
  </si>
  <si>
    <t>Jackson, GD (corresponding author), Univ Tasmania, Inst Antarctic &amp; So Ocean Studies, GPO Box 252-77, Hobart, Tas 7001, Australia.</t>
  </si>
  <si>
    <t>10.1007/s003000000178</t>
  </si>
  <si>
    <t>WOS:000166579800004</t>
  </si>
  <si>
    <t>Marshall, DJ; OConnor, BM; Pugh, PJA</t>
  </si>
  <si>
    <t>Neohyadesia microtricha (Acari: Astigmata: Algophagidae):: a new species from the Sub-Antarctic</t>
  </si>
  <si>
    <t>The sub-antarctic mite genus Neohyadesia (Acari: Astigmata) is known from two described taxa: N. signyi from Signy Island (South Orkney Islands, South Atlantic Province), and a subspecies, N. s. punctulata from Ile Kerguelen (South Indian Province). This paper describes a second species distinguishable by, in particular, cuticular microtrichae covering the dorsal surface. The new species, N. microtricha sp. nov., has a similarly disjunct sub-antarctic distribution, occurring on both Marion (SIP) and South Georgia (SAP) islands. A systematic synopsis of the sub-antarctic algophagine mites is given.</t>
  </si>
  <si>
    <t>Univ Durban Westville, Dept Zool, ZA-4000 Durban, South Africa; Univ Michigan, Museum Zool, Ann Arbor, MI 48109 USA; British Artarctic Survey, Cambridge, England</t>
  </si>
  <si>
    <t>University of Kwazulu Natal; University of Michigan System; University of Michigan; UK Research &amp; Innovation (UKRI); Natural Environment Research Council (NERC); NERC British Antarctic Survey</t>
  </si>
  <si>
    <t>Marshall, DJ (corresponding author), Univ Durban Westville, Dept Zool, P Bag X54001, ZA-4000 Durban, South Africa.</t>
  </si>
  <si>
    <t>Marshall, David/0000-0003-3771-5950</t>
  </si>
  <si>
    <t>10.1007/s003000000179</t>
  </si>
  <si>
    <t>WOS:000166579800005</t>
  </si>
  <si>
    <t>López-González, PJ; Gili, JM</t>
  </si>
  <si>
    <t>Rosgorgia inexspectata, new genus and species of Subergorgiidae (Cnidaria, Octocorallia) from off the Antarctic Peninsula</t>
  </si>
  <si>
    <t>SOUTHERN</t>
  </si>
  <si>
    <t>The family Subergorgiidae comprises two genera, Subergorgia with three species and Annella with two species. All the previously known species are distributed in tropical and subtropical waters from the northern Red Sea to the central Pacific. The presence of a subergorgoiid in Antarctic waters could support the hypothesis that at least part of the Antarctic fauna has its origin in the Cretaceous period, when Antarctica was part of the Gondwana continent. The new genus Rosgorgia with the new species inexspectata is placed in the family Subergorgiidae by the presence of smooth. fusiform and often anastomosing needles in the axis, wart spindles in the coenenchyme. and coelenteric cavities of polyps only present rn the coenenchyme. The genus Rosgorgia differs from Subergorgia and Annella by the presence of tuberculate rods in the axis. It is further distinguished from Annella by the absence of double-disk sclerites in the coenenchyme, and not anastomosing branches.</t>
  </si>
  <si>
    <t>Univ Sevilla, Fac Biol, Biol Marine Lab, E-41012 Seville, Spain; CSIC, Inst Ciencias Mar, E-08039 Barcelona, Spain</t>
  </si>
  <si>
    <t>University of Sevilla; Consejo Superior de Investigaciones Cientificas (CSIC); CSIC - Centro Mediterraneo de Investigaciones Marinas y Ambientales (CMIMA); CSIC - Instituto de Ciencias del Mar (ICM)</t>
  </si>
  <si>
    <t>López-González, PJ (corresponding author), Univ Sevilla, Fac Biol, Biol Marine Lab, Reina Mercedes 6, E-41012 Seville, Spain.</t>
  </si>
  <si>
    <t>10.1007/s003000000176</t>
  </si>
  <si>
    <t>WOS:000166579800008</t>
  </si>
  <si>
    <t>Scott, FJ; Davidson, AT; Marchant, HJ</t>
  </si>
  <si>
    <t>Grazing by the Antarctic sea-ice ciliate Pseudocohnilembus</t>
  </si>
  <si>
    <t>WEDDELL SEA; HETEROTROPHIC NANOFLAGELLATE; CLEARANCE RATES; COASTAL WATERS; PARTICLE-SIZE; EDGE ZONE; PACK ICE; ABUNDANCE; CILIOPHORA; BACTERIA</t>
  </si>
  <si>
    <t>Potential uptake and clearance rates of fluorescent microspheres (FM) from 0.25 to 4.05 mum diameter were determined for the non-loricate ciliate Pseudocohnilembus sp. from Antarctic sea ice. The percentage of ciliate cells that ingested FM after 20 min incubation decreased with increasing particle diameter. Pseudocohnilembus sp. ingested FM between 0.25 and 4.05 mum in diameter. We offered FM at concentrations less than natural concentrations for plankton plus detrital material and obtained clearance rates less than those previously reported for bactivorous ciliates. Clearance rates were 3.6-5.4 nl cell(-1) h(-1) for FM 0.5 and 1 mum diameter, respectively, but decreased to 1.1 nl cell(-1) h(-1) for 1.97 mum diameter and 1.4 nl cell(-1) h(-1) for 4.05-mum-diameter FM. Clearance and uptake rates of FM 0.5 and 1 mum diameter indicate that Pseudocohnilembus sp. principally grazes on bacteria-sized particles. However, it can also ingest organisms as large as nanoplankton and may graze particles as small as femtoplankton and colloids. This suggests a feeding strategy that may suit the temporal and spatial changes in food availability in the sea-ice habitat.</t>
  </si>
  <si>
    <t>Scott, FJ (corresponding author), Australian Antarctic Div, Channel Highway, Kingston, Tas 7050, Australia.</t>
  </si>
  <si>
    <t>10.1007/s003000000184</t>
  </si>
  <si>
    <t>WOS:000166579800009</t>
  </si>
  <si>
    <t>Chiantore, M; Cattaneo-Vietti, R; Berkman, PA; Nigro, M; Vacchi, M; Schiaparelli, S; Albertelli, G</t>
  </si>
  <si>
    <t>Antarctic scallop (Adamussium colbecki) spatial population variability along the Victoria Land Coast, Antarctica</t>
  </si>
  <si>
    <t>BAY ROSS SEA; MCMURDO SOUND</t>
  </si>
  <si>
    <t>Along the Victoria Land Coast, the population structure of the Antarctic scallop (Adamussium colbecki) was studied in McMurdo Sound (New Harbor), Terra Nova Bay, and Wood Bay, on a latitudinal spall of 3 degrees. At a large spatial scale, most relevant differences between the scallop populations are linked to their depth distributions. The McMurdo and Wood Bay populations show a shallower bathymetric distribution with maximum abundance between 5 and 15 m depth. In contrast, inside Terra Nova Bay, at sites with similar near-shore bathymetric profiles, the maximum biomass is found between 40 and 70 m. This difference can be related to the different ice-cover persistency characterising these two areas, bring less at Terra Nova Bay than in the other localities. Differences arise also in the reproductive period: at McMurdo, it seems to occur early in the austral spring, while at Terra Nova Bay, mature females are observed at the beginning of February. Also at a small scale, in sites only a few miles from each other. the population structures inside Terra Nova Bay and Wood Bay vary in terms of abundance and size frequency distribution, suggesting various environmental and biological constraints. Among environmental factors, bottom features (slope, sediment grain size, organic content) and water-column food supply during the summer months may be considered. In addition, as Adamussium is preyed upon by starfishes and fishes, its abundance and population structure may be affected by predators and their abundance.</t>
  </si>
  <si>
    <t>Univ Genoa, DIP TE RIS Dipartimento Studio Territ Sue Risorse, I-16132 Genoa, Italy; Ohio State Univ, Byrd Polar Res Ctr, Columbus, OH 43210 USA; Univ Pisa, Sez Biol &amp; Genet, Dipartimento Morfol Umana &amp; Biol Applicata, I-56100 Pisa, Italy; ICRAM, Cent Ric Sci &amp; Tecnol Applicata Mare, I-00166 Rome, Italy</t>
  </si>
  <si>
    <t>University of Genoa; University System of Ohio; Ohio State University; University of Pisa</t>
  </si>
  <si>
    <t>Univ Genoa, DIP TE RIS Dipartimento Studio Territ Sue Risorse, Viale Benedetto XV,5, I-16132 Genoa, Italy.</t>
  </si>
  <si>
    <t>chiantore@dipteris.unige.it</t>
  </si>
  <si>
    <t>Schiaparelli, Stefano/AAI-4024-2020; Chiantore, Mariachiara/C-7070-2017</t>
  </si>
  <si>
    <t>Schiaparelli, Stefano/0000-0002-0137-3605; Chiantore, Mariachiara/0000-0002-5862-1470</t>
  </si>
  <si>
    <t>10.1007/s003000000191</t>
  </si>
  <si>
    <t>WOS:000166579800011</t>
  </si>
  <si>
    <t>Terhune, JM; Addy, TC; Jones, TAM; Burton, HR</t>
  </si>
  <si>
    <t>Underwater calling rates of harp and Weddell seals as a function of hydrophone location</t>
  </si>
  <si>
    <t>VOCALIZATIONS</t>
  </si>
  <si>
    <t>Stereo recordings of harp seal (Pagophilus groenlandicus) and Weddell seal (Leptonychotes weddellii) underwater vocalizations were made near breeding groups using separations between two hydrophones of 159-339 m. Within a large herd: harp seal call numbers varied slightly between channels. Counts of Weddell seal calls were higher near a small herd on the ice than 159-180 m away, Repeat counts of harp seal calls by a single observer differed significantly. Source levels of Weddell seal calls varied and higher amplitude calls would be detected up to 2 orders of magnitude farther away than quieter calls. Hydrophone location (especially near small groups), observer variability and call source level differences will bias the use of monitoring underwater seal vocalizations to index locations, population size or underwater behaviours. Using hydrophone arrays and multiple observers may mitigate these problems.</t>
  </si>
  <si>
    <t>Univ New Brunswick, Ctr Coastal Studies &amp; Aquaculture, St John, NB E2L 4L5, Canada; Australian Antarctic Div, Kingston, Tas 7050, Australia</t>
  </si>
  <si>
    <t>University of New Brunswick; Australian Antarctic Division</t>
  </si>
  <si>
    <t>Terhune, JM (corresponding author), Univ New Brunswick, Ctr Coastal Studies &amp; Aquaculture, POB 5050, St John, NB E2L 4L5, Canada.</t>
  </si>
  <si>
    <t>Terhune, John/0000-0002-2661-7389</t>
  </si>
  <si>
    <t>10.1007/s003000000194</t>
  </si>
  <si>
    <t>WOS:000166579800012</t>
  </si>
  <si>
    <t>England, MH; Maier-Reimer, E</t>
  </si>
  <si>
    <t>Using chemical tracers to assess ocean models</t>
  </si>
  <si>
    <t>GENERAL-CIRCULATION MODEL; ANTARCTIC INTERMEDIATE WATER; WESTERN BOUNDARY CURRENT; NORTH-ATLANTIC OCEAN; WORLD OCEAN; GLOBAL OCEAN; ANTHROPOGENIC CO2; NORWEGIAN SEAS; ATMOSPHERIC CO2; BLACK-SEA</t>
  </si>
  <si>
    <t>Chemical tracers can be used to assess the simulated circulation in ocean models. Tracers that have been used in this context include tritium, chlorofluorocarbons, natural and bomb-produced radiocarbon, and to a lesser extent, oxygen, silicate, phosphate, isotopes of organic and inorganic carbon compounds, and certain noble gases (e.g., helium and argon). This paper reviews the use of chemical tracers in assessing the circulation and flow patterns in global and regional ocean models. It will be shown that crucial information can be derived from chemcial tracers that cannot be obtained from temperature-salinity (T-S) alone. Tn fact, it turns out that a model with a good representation of T-S can have significant errors in simulated circulation, so checking a model's ability to capture chemical tracer patterns is vital. Natural chemical tracers such a?; isotopes of carbon, argon, and oxygen are useful for examining the model representation of old water masses, such as North Pacific and Circumpolar Deep Water. Anthropogenic or transient tracers, such as tritium, chlorofluorocarbons, and bomb-produced C-14, are best suited fur analyzing model circulation over decadal timescales, such as thermocline ventilation, the renewal of Antarctic Intermediate Water, and the ventilation pathways of North Atlantic Deep Water and Antarctic Bottom Water. Tracer model studies have helped to reveal inadequacies in the model representation of certain water mass formation processes, for example, convection, downslope flows, and deep ocean currents. They show how coarse models can chronically exaggerate the spatial scales of open-ocean convection and deep currents while underestimating deep flow rates and diffusing downslope flows with excessive lateral mixing. Higher-resolution models typically only resolve thermocline ventilation because of shorter integration times, and most resort to high-latitude T-S restoring to simulate reasonable interior water mass characteristics. This can be seen to result in spuriously weak chemical tracer uptake at high latitudes due to suppressed convective overturn and vertical motion, Overall, the simulation of chemical tracers is strongly recommended in model assessment studies and as a tool for analyzing water mass mixing and transformation in ocean models. We argue that a cost-effective approach is to simulate natural radiocarbon to assess long-timescale processes, and CFCs for decadal to interdecadal ocean ventilation.</t>
  </si>
  <si>
    <t>Univ New S Wales, Sch Math, Ctr Environm Modelling &amp; Predict, Sydney, NSW 2052, Australia; Max Planck Inst Meteorol, D-20146 Hamburg, Germany</t>
  </si>
  <si>
    <t>University of New South Wales Sydney; Max Planck Society</t>
  </si>
  <si>
    <t>Univ New S Wales, Sch Math, Ctr Environm Modelling &amp; Predict, Sydney, NSW 2052, Australia.</t>
  </si>
  <si>
    <t>m.england@unsw.edu.au</t>
  </si>
  <si>
    <t>England, Matthew/A-7539-2011</t>
  </si>
  <si>
    <t>England, Matthew/0000-0001-9696-2930</t>
  </si>
  <si>
    <t>10.1029/1998RG000043</t>
  </si>
  <si>
    <t>403EL</t>
  </si>
  <si>
    <t>WOS:000167029600002</t>
  </si>
  <si>
    <t>Ramaswamy, V; Chanin, ML; Angell, J; Barnett, J; Gaffen, D; Gelman, M; Keckhut, P; Koshelkov, Y; Labitzke, K; Lin, JJR; O'Neill, A; Nash, J; Randel, W; Rood, R; Shine, K; Shiotani, M; Swinbank, R</t>
  </si>
  <si>
    <t>Stratospheric temperature trends: Observations and model simulations</t>
  </si>
  <si>
    <t>QUASI-BIENNIAL OSCILLATION; GENERAL-CIRCULATION MODEL; 11-YEAR SOLAR-CYCLE; ANTARCTIC OZONE HOLE; GAS EXPERIMENT II; MIDDLE ATMOSPHERE; LONG-TERM; NORTHERN-HEMISPHERE; WATER-VAPOR; EL-CHICHON</t>
  </si>
  <si>
    <t>Trends and variations in global stratospheric temperatures are an integral part of the changes occurring in the Earth's climate system. Data sets for analyzing long-term (a decade and more) changes in the stratospheric temperatures consist of radiosonde, satellite, lidar, and rocketsonde measurements; meteorological analyses based on radiosonde and/or satellite data; and products based on assimilating observations using a general circulation model. Each of these contain varying degrees of uncertainties that influence the interpretation and significance of trends, We review the long-term trends from approximately the mid-1960s to the mid-1990s period. The stratosphere: has, in general, undergone considerable cooling over the past 3 decades. At northern midlatitudes the lower stratosphere (similar to 16-21 km) cooling over the 1979-1994 period is strikingly coherent among the various data sets with regard to magnitude and statistical significance. A substantial cooling occurs in the polar lower stratosphere during winter-spring; however, there is a large dynamical variability in the northern polar region. The vertical profile of the annual-mean stratospheric temperature change in the northern midlatitudes over the 1979-1994 period is robust among the different data sets, with similar to0.75 K/decade cooling in the similar to 20- to 35-km region and increasing cooling above (e.g., similar to2.5 K/decade at 50 km). Model investigations into the cause or causes of the observed temperature trends are also reviewed, Simulations based on the known changes in species' concentrations indicate that the depiction of lower stratospheric ozone is the major radiative factor in accounting for the 1979-1990 cooling trend in the global, annual-mean lower stratosphere (similar to0.5 to 0.6 K/decade), with a substantially lesser contribution by the well-mixed greenhouse gases. Ozone loss is also an important causal factor in the latitude-month pattern of the lower stratospheric cooling trend. Uncertainties arise due to incomplete knowledge of the vertical profile of ozone loss near the tropopause. In the middle and upper stratosphere, both well-mixed greenhouse gases and ozone changes contribute in an important manner to the cooling, but model simulations underestimate the observed decadal-scale trend. While there is a lack of reliable information on water vapor changes over the 1980s decade, satellite measurements in the early to middle 1990s indicate increases in water vapor that could be a significant contributor to the cooling of the global lower stratosphere.</t>
  </si>
  <si>
    <t>Princeton Univ, NOAA, Geophys Fluid Dynam Lab, Princeton, NJ 08452 USA; CNRS, Serv Aeron, F-91371 Verrieres Le Buisson, France; NOAA, Air Resources Lab, Silver Spring, MD 20910 USA; Univ Oxford, Dept Atmospher Phys, Oxford OX1 3PU, England; Natl Ctr Environm Predict, Climate Predict Ctr, Washington, DC 20233 USA; Cent Aerol Observ, Moscow, Russia; Free Univ Berlin, Inst Meteorol, D-1000 Berlin 41, Germany; Univ Reading, Dept Meteorol, Reading RG6 6BB, Berks, England; UK Meteorol Off, Bracknell RG12 2SZ, Berks, England; Natl Ctr Atmospher Res, Boulder, CO 80307 USA; NASA, Goddard Space Flight Ctr, Univ Space Res Assoc, Greenbelt, MD 20771 USA; Hokkaido Univ, Div Ocean &amp; Atmospher Sci, Sapporo, Hokkaido 060, Japan</t>
  </si>
  <si>
    <t>National Oceanic Atmospheric Admin (NOAA) - USA; Princeton University; Centre National de la Recherche Scientifique (CNRS); National Oceanic Atmospheric Admin (NOAA) - USA; University of Oxford; National Oceanic Atmospheric Admin (NOAA) - USA; Free University of Berlin; University of Reading; Met Office - UK; National Center Atmospheric Research (NCAR) - USA; National Aeronautics &amp; Space Administration (NASA); NASA Goddard Space Flight Center; Universities Space Research Association (USRA); Hokkaido University</t>
  </si>
  <si>
    <t>Princeton Univ, NOAA, Geophys Fluid Dynam Lab, POB 308, Princeton, NJ 08452 USA.</t>
  </si>
  <si>
    <t>vr@gfdl.gov</t>
  </si>
  <si>
    <t>Randel, William J/K-3267-2016; Keckhut, Philippe/AFO-0077-2022; Shiotani, Masato/M-8498-2017; Rood, Richard/C-5611-2008; Shine, Keith/D-9093-2012</t>
  </si>
  <si>
    <t>Rood, Richard/0000-0002-2310-4262; Shine, Keith/0000-0003-2672-9978; Shiotani, Masato/0000-0001-5844-4032</t>
  </si>
  <si>
    <t>10.1029/1999RG000065</t>
  </si>
  <si>
    <t>WOS:000167029600003</t>
  </si>
  <si>
    <t>Werner, M; Heimann, M; Hoffmann, G</t>
  </si>
  <si>
    <t>Isotopic composition and origin of polar precipitation in present and glacial climate simulations</t>
  </si>
  <si>
    <t>GENERAL-CIRCULATION MODEL; VOSTOK ICE CORE; ANTARCTIC PRECIPITATION; INTERGLACIAL CHANGES; DEUTERIUM EXCESS; STABLE-ISOTOPES; SURFACE SNOW; GREENLAND; TEMPERATURE; RECORD</t>
  </si>
  <si>
    <t>The Hamburg atmospheric general circulation model(AGCM) ECHAM-4 is used to identify the main source regions of precipitation falling on Greenland and Antarctica. Both water isotopes (H2O)-O-18 and HDO are explicitly built into the water cycle of the AGCM, and in addition the capability to trace water from different source regions was added to the model. Present and LGM climate simulations show that water from the most important source regions has an isotopic signature similar to the mean isotope values of the total precipitation amount. But water from other source regions (with very different isotopic signatures) contributes an additional, non-negligible part of the total precipitation amount on both Greenland and Antarctica. Analyses of the temperature-isotope-relations For both polar regions reveal a solely bias of the glacial isotope signal on Greenland, which is caused by a strong change in the seasonal deposition of precipitation originating from nearby polar seas and the northern Atlantic. Although the performed simulations under LGM boundary conditions show a decrease of the delta O-18 values in precipitation in agreement with ice core measurements, the AGCM fails to reproduce the observed simultaneous decrease of the deuterium excess signal.</t>
  </si>
  <si>
    <t>Max Planck Inst Meteorol, D-20146 Hamburg, Germany; Max Planck Inst Biogeochem, D-07701 Jena, Germany; Ctr Etudes Orme Merisiers, Lab Sci Climat &amp; Environm, F-91191 Gif Sur Yvette, France</t>
  </si>
  <si>
    <t>Max Planck Society; Max Planck Society; CEA; Centre National de la Recherche Scientifique (CNRS); Universite Paris Saclay</t>
  </si>
  <si>
    <t>Univ Stockholm, Dept Meteorol, S-10691 Stockholm, Sweden.</t>
  </si>
  <si>
    <t>werner@misu.su.se</t>
  </si>
  <si>
    <t>Werner, Martin/C-8067-2014; Heimann, Martin/H-7807-2016</t>
  </si>
  <si>
    <t>Werner, Martin/0000-0002-6473-0243; Heimann, Martin/0000-0001-6296-5113</t>
  </si>
  <si>
    <t>1600-0889</t>
  </si>
  <si>
    <t>10.1034/j.1600-0889.2001.01154.x</t>
  </si>
  <si>
    <t>398ZJ</t>
  </si>
  <si>
    <t>WOS:000166786100005</t>
  </si>
  <si>
    <t>Sturges, WT; McIntyre, HP; Penkett, SA; Chappellaz, J; Barnola, JM; Mulvaney, R; Atlas, E; Stroud, V</t>
  </si>
  <si>
    <t>Methyl bromide, other brominated methanes, and methyl iodide in polar firn air</t>
  </si>
  <si>
    <t>ORGANIC-COMPOUNDS; TROPICAL TROPOPAUSE; LOWER STRATOSPHERE; SEASONAL-VARIATION; ICE ALGAE; TROPOSPHERE; EMISSIONS; HALOCARBONS; BROMOFORM; CHEMISTRY</t>
  </si>
  <si>
    <t>We report measurements of brominated, bromochlorinated, and iodinated methanes in air extracted from deep firn at three polar locations (two Antarctic and one Arctic). Using a firn diffusion model, we are able to reconstruct a consistent temporal trend for methyl bromide from the two Antarctic sites. This indicates a steady increase by about 2 ppt from the midtwentieth century to 8 ppt today. The Arctic firn, however, contained extremely high levels of methyl bromide as well as numerous other organic gases, which are evidently produced in situ. The other brominated species (dibromomethane, bromochloromethane, bromodichloromethane, dibromochloromethane, and bromoform) showed Little or no long-term trend in Antarctic firn and therefore are evidently of entirely natural origin in the Southern Hemisphere. A clear seasonal trend was observed in the upper firn for the shortest-lived halocarbons (notably bromoform and methyl iodide). The same species were present at lower abundance at the higher altitude and more inland Antarctic site, possibly due to their origin from more distant oceanic sources.</t>
  </si>
  <si>
    <t>Univ E Anglia, Sch Environm Sci, Norwich NR4 7TJ, Norfolk, England; Natl Ctr Atmospher Res, Div Atmospher Chem, Boulder, CO 80307 USA; CNRS, Lab Glaciol &amp; Geophys Environm, F-38402 St Martin Dheres, France; British Antarctic Survey, NERC, Cambridge CB3 0ET, England</t>
  </si>
  <si>
    <t>University of East Anglia; National Center Atmospheric Research (NCAR) - USA; Centre National de la Recherche Scientifique (CNRS); UK Research &amp; Innovation (UKRI); Natural Environment Research Council (NERC); NERC British Antarctic Survey</t>
  </si>
  <si>
    <t>Chappellaz, Jérôme A./A-4872-2011; Atlas, Elliot/AAE-4605-2021; Atlas, Elliot/J-8171-2015; Mulvaney, Robert/K-3929-2012</t>
  </si>
  <si>
    <t>Mulvaney, Robert/0000-0002-5372-8148; Atlas, Elliot/0000-0003-3847-5346</t>
  </si>
  <si>
    <t>JAN 27</t>
  </si>
  <si>
    <t>D2</t>
  </si>
  <si>
    <t>10.1029/2000JD900511</t>
  </si>
  <si>
    <t>395TB</t>
  </si>
  <si>
    <t>WOS:000166596400011</t>
  </si>
  <si>
    <t>Antson, AA; Smith, DJ; Roper, DI; Lewis, S; Caves, LSD; Verma, CS; Buckley, SL; Lillford, PJ; Hubbard, RE</t>
  </si>
  <si>
    <t>Understanding the mechanism of ice binding by type III antifreeze proteins</t>
  </si>
  <si>
    <t>AFP; antifreeze; X-ray crystallography; ice-etching; molecular modelling</t>
  </si>
  <si>
    <t>WINTER FLOUNDER ANTIFREEZE; ANTARCTIC EEL POUT; NEUTRON-DIFFRACTION; GROWTH-INHIBITION; OCEAN POUT; PEPTIDES; ADSORPTION; SURFACE; IDENTIFICATION; POLYPEPTIDE</t>
  </si>
  <si>
    <t>Type III antifreeze proteins (AFPs) are present in the body fluids of some polar fishes where they inhibit ice growth at subzero temperatures. Previous studies of the structure of type III AFP by NMR and X-ray identified a remarkably flat surface on the protein containing amino acids that were demonstrated to be important for interaction with ice by mutational studies. It was proposed that this protein surface binds onto the (1 0 (1) over bar 0) plane of ice with the key amino acids interacting directly with the water molecules in the ice crystal. Here, we show that the mechanism of type III AFP interaction with ice crystals is more complex than that proposed previously. We report a high-resolution X-ray structure of type III AFP refined at 1.15 Angstrom resolution with individual anisotropic temperature factors. We report the results of ice-etching experiments that show a broad surface coverage, suggesting that type III AFP binds to a set of planes that are parallel with or inclined at a small angle to the crystallographic c-axis of the ice crystal. Our modelling studies, performed with the refined structure, confirm that type III AFP can make energetically favourable interactions with several ice surfaces. (C) 2001 Academic Press.</t>
  </si>
  <si>
    <t>Univ York, Dept Chem, Struct Biol Lab, York YO1 5DD, N Yorkshire, England; Unilever Res, Sharnbrook MK44 1LQ, Beds, England</t>
  </si>
  <si>
    <t>University of York - UK; Unilever</t>
  </si>
  <si>
    <t>Univ York, Dept Chem, Struct Biol Lab, York YO1 5DD, N Yorkshire, England.</t>
  </si>
  <si>
    <t>rod@ysbl.york.ac.uk</t>
  </si>
  <si>
    <t>Roper, David/A-2323-2011; Antson, Alfred/N-2551-2016</t>
  </si>
  <si>
    <t>Roper, David/0000-0003-0009-621X; Antson, Alfred/0000-0002-4533-3816; Caves, Leo/0000-0002-8610-1114</t>
  </si>
  <si>
    <t>JAN 26</t>
  </si>
  <si>
    <t>10.1006/jmbi.2000.4336</t>
  </si>
  <si>
    <t>398GJ</t>
  </si>
  <si>
    <t>WOS:000166748300018</t>
  </si>
  <si>
    <t>Duxbury, NS; Zotikov, IA; Nealson, KH; Romanovsky, VE; Carsey, FD</t>
  </si>
  <si>
    <t>A numerical model for an alternative origin of Lake Vostok and its exobiological implications for Mars</t>
  </si>
  <si>
    <t>EAST ANTARCTICA; ICE; WATER; TRITON; HEAT</t>
  </si>
  <si>
    <t>In connection with recent Galileo images of the Jovian satellite Europa, there has been a significantly increased interest in the subglacial Lake Vostok in central East Antarctica. Since the theoretical prediction by Zotikov [1961] of the existence of lakes (one of which later was named Vostok) under similar to4 km of ice in Antarctica and its confirmation by radar measurements from aircraft in 1974 [Robin et al., 1977] and from the ERS-1 satellite in 1993, it was tacitly assumed that the lake originated from the basal melting of ice [e.g., Zotikov, 1961, 1977, 1986; Kapitsa et al., 1996]. Recently, Zotikov and Duxbury [2000] proposed an alternative hypothesis that Lake Vostok had existed on the surface before the Antarctic perennial glaciation began 5-30 Myr ago, then it was buried under the thermally protecting ice and never froze all the way to the bottom. In this study we support our hypothesis by comprehensive numerical modeling and evaluate its interesting implications for Mars and exobiology. Our numerical experiments on the sensitivity of the freezing depth to different upper boundary temperatures and different internal heat flows and the recent Mars Global Surveyor Mars Orbiter Laser Altimeter (MOLA) data support our model of the origin of possible subpolar water on Mars versus the old basal melting hypothesis. We also propose here experimental tests for our hypothesis. As a result of our computations, we conclude that Lake Vostok has survived the Antarctic glaciation without freezing completely, if it were initially an open lake with a surprisingly small water depth (greater than similar to 53 m). The current water depth at a single point is as much as 500 m [Verkulich et al., 1996]. This maximum freezing depth of similar to 53 m was reached in only 3300 years when the total upper ice cover was only similar to 600 m. The computed critical water depth is applicable to other Antarctic lakes under a thick ice cover. For the Martian internal heat flow we have computed the critical water depth to be similar to 63 m. The existence of the lake before the accumulation of ice in Antarctica implies that possible microorganisms and their remnants in the lake can be older than the Antarctic ice sheet, i.e., older than 5-30 Myr. If future observations find water under the Martian polar caps, this subpolar water, according to our model, has originated from lakes that were on the Martian surface before the formation of Mars' polar caps and have not completely frozen. Such environments would be ideal candidates for extant or extinct life on the red planet. This argues for a drilling mission at the Martian polar caps.</t>
  </si>
  <si>
    <t>CALTECH, Jet Prop Lab, Pasadena, CA 91109 USA; Russian Acad Sci, Inst Geog, Moscow 109017, Russia; Univ Alaska, Inst Geophys, Fairbanks, AK 99701 USA</t>
  </si>
  <si>
    <t>National Aeronautics &amp; Space Administration (NASA); NASA Jet Propulsion Laboratory (JPL); California Institute of Technology; Institute of Geography, Russian Academy of Sciences; Russian Academy of Sciences; University of Alaska System; University of Alaska Fairbanks</t>
  </si>
  <si>
    <t>CALTECH, Jet Prop Lab, Mail Stop 183-501,4800 Oak Grove Dr, Pasadena, CA 91109 USA.</t>
  </si>
  <si>
    <t>nsd@scnl.jpl.nasa.gov</t>
  </si>
  <si>
    <t>JAN 25</t>
  </si>
  <si>
    <t>E1</t>
  </si>
  <si>
    <t>10.1029/2000JE001254</t>
  </si>
  <si>
    <t>395TJ</t>
  </si>
  <si>
    <t>WOS:000166597100005</t>
  </si>
  <si>
    <t>Gurney, A</t>
  </si>
  <si>
    <t>Shackleton -: The Antarctic and Endurance</t>
  </si>
  <si>
    <t>JAN 19</t>
  </si>
  <si>
    <t>395EQ</t>
  </si>
  <si>
    <t>WOS:000166567300029</t>
  </si>
  <si>
    <t>Art Exhibit Review</t>
  </si>
  <si>
    <t>WOS:000166567300028</t>
  </si>
  <si>
    <t>Hudson, DA; Hewitson, C</t>
  </si>
  <si>
    <t>The atmospheric response to a reduction in summer Antarctic sea-ice extent</t>
  </si>
  <si>
    <t>CLIMATE RESEARCH</t>
  </si>
  <si>
    <t>Antarctic sea-ice extent; general circulation model; climate response</t>
  </si>
  <si>
    <t>GENERAL-CIRCULATION MODEL; GLOBAL CLIMATE MODEL; TRANSFER SCHEME LSX; SOUTHERN-HEMISPHERE; NUMERICAL EXPERIMENT; WINTER CIRCULATION; LEVEL PRESSURE; GENESIS GCM; SENSITIVITY; VARIABILITY</t>
  </si>
  <si>
    <t>This paper examines the response of an atmospheric general circulation model (GCM) to a reduction in Antarctic sea-ice extent during summer. The control simulations are forced by prescribed, observed sea surface temperatures (SSTs) and sea-ice extents, while in the perturbation simulations sea-ice is reduced. The simulations are restarts of an AMIP (Atmospheric Model Intercomparison Project) configured simulation, and 2 summers (1979/80 and 1984/85) were selected for the study. The results show that a reduced sea-ice extent causes an increase in surface air temperatures in the regions where sea-ice was removed, and an associated decrease in pressure at high latitudes (around 60 degrees S). The greatest increase in surface air temperatures are found north of the Weddell and Ross Seas. There is an increase in pressure between 30 and 50 degrees S, which is associated with a strengthening and southward extension of the subtropical high pressure belt. The change in Vertical velocities supports these results showing an intensification of the ascending Limb of the Ferrel cell and a southward extension of the descending limb of the Hadley cell. In response to the perturbation there is an increase in wind speeds in mid/high latitudes (45 to 65 degrees S), and a decrease in the westerly flow in the subtropics (30 to 40 degrees S). The amplitude of circumpolar wave number I decreases in the perturbations compared to the controls in both years. This may be a result of reduced asymmetry of the SST distribution about the pole and the southward shift of the subtropical high-pressure belt. A cyclone analysis shows an increase in the number of midlatitude cyclones around Antarctica (60 to 70 degrees S) and a decrease further north (40 to 60 degrees S). The general pattern of changed circulation for the summer of 1984/85 is positioned slightly south of that in 1979/80, perhaps related to the less extensive sea-ice in 1984/85.</t>
  </si>
  <si>
    <t>Univ Cape Town, Dept Geog &amp; Environm Sci, ZA-7701 Rondebosch, South Africa</t>
  </si>
  <si>
    <t>Hudson, DA (corresponding author), Univ Cape Town, Dept Geog &amp; Environm Sci, ZA-7701 Rondebosch, South Africa.</t>
  </si>
  <si>
    <t>; Hewitson, Bruce/B-3295-2014</t>
  </si>
  <si>
    <t>Hudson, Debra/0000-0002-0129-0922; Hewitson, Bruce/0000-0001-7546-4430</t>
  </si>
  <si>
    <t>0936-577X</t>
  </si>
  <si>
    <t>CLIMATE RES</t>
  </si>
  <si>
    <t>Clim. Res.</t>
  </si>
  <si>
    <t>JAN 18</t>
  </si>
  <si>
    <t>10.3354/cr016079</t>
  </si>
  <si>
    <t>399HX</t>
  </si>
  <si>
    <t>WOS:000166806500001</t>
  </si>
  <si>
    <t>Godin, S; Bergeret, V; Bekki, S; David, C; Mégie, G</t>
  </si>
  <si>
    <t>Study of the interannual ozone loss and the permeability of the Antarctic polar vortex front aerosol and ozone lidar measurements in Dumont d'Urville (66.4°S, 140°E)</t>
  </si>
  <si>
    <t>VOLCANIC AEROSOLS; WINTER; STRATOSPHERE; TRANSPORT; DEPLETION; PINATUBO; PROFILES; HOLE</t>
  </si>
  <si>
    <t>Systematic ground-based measurements of the ozone and aerosol stratospheric profile performed in the Dumont d'Urville (66.4 degreesS, 140 degreesE) Antarctic station are used to study the air subsidence in fall, the springtime ozone loss, and the vortex confinement on an interannual basis, The data obtained mostly from March to October in the 1992 - 1998 time period are analyzed as a function of equivalent latitude in order to discriminate the measurements performed inside, at the edge or outside the vortex. The subsidence rate derived from the ozone measurements in the lower stratosphere prior to the destruction period and from the volcanic aerosol measurements in 1992 is in good agreement with the estimation provided by radiative transfer models. The analysis of the ozone seasonal variation shows that the ozone destruction starts in the beginning of August and affects essentially the inner vortex or inner edge regions. The destruction lasts up to the end of September and low ozone values are found up to the end of October, confirming the isolation of the polar vortex above 400 K. Ozone destruction rates of the order of 3%/d in the 400 - 475 K region and 1.5%/d around 550 K are derived from the data obtained inside the vortex, The ozone measurements obtained in October allow to study the vortex confinement which shows the increase of the ozone meridional gradient through the vortex edge from 400 to 650 K. A fine view of the vortex edge is provided by a near daily series of aerosol lidar measurements performed in October 1992, a period when the vortex was deformed by planetary waves and slanted with respect to the vertical direction.</t>
  </si>
  <si>
    <t>Univ Paris 06, Serv Aeron, CNRS, F-75252 Paris 05, France</t>
  </si>
  <si>
    <t>Sorbonne Universite; Centre National de la Recherche Scientifique (CNRS)</t>
  </si>
  <si>
    <t>Godin, S (corresponding author), Univ Paris 06, Serv Aeron, CNRS, 4 Pl Jussieu,Boite 102, F-75252 Paris 05, France.</t>
  </si>
  <si>
    <t>bekki, slimane/J-7221-2015</t>
  </si>
  <si>
    <t>bekki, slimane/0000-0002-5538-0800</t>
  </si>
  <si>
    <t>JAN 16</t>
  </si>
  <si>
    <t>D1</t>
  </si>
  <si>
    <t>10.1029/2000JD900459</t>
  </si>
  <si>
    <t>393FL</t>
  </si>
  <si>
    <t>WOS:000166458500014</t>
  </si>
  <si>
    <t>Rodger, CJ; Cho, MG; Clilverd, MA; Rycroft, MJ</t>
  </si>
  <si>
    <t>Lower ionospheric modification by lightning-EMP: Simulation of the night ionosphere over the United States</t>
  </si>
  <si>
    <t>ELVES; SPRITES</t>
  </si>
  <si>
    <t>It has recently been suggested that successive intense lightning-electromagnetic pulse (EMP) events could cause significant large-scale changes to the properties of the nighttime lower ionosphere. In order to examine this quantitatively, data on lightning detected over the United States are combined with the output from a simulation code. During the course of a night strong lightning-EMP events can lead to significant (similar to 100% or even greater) increases in the electron density of the lower ionosphere, with the largest increases at similar to 90 km altitude. Regions with significant decreases in electron density are also possible. It is shown that changes in the electron temperature of the lower ionosphere are unlikely to be significant. The time required to produce large-scale changes of ionospheric electron density above an active thunderstorm may explain the observation of a thunderstorm modification time before red sprite activity is initiated.</t>
  </si>
  <si>
    <t>Low Frequency Electromagnet Res Ltd, Dunedin, New Zealand; Univ Otago, Dept Phys, Dunedin, New Zealand; Kyushu Inst Technol, Dept Elect Engn, Tobata Ku, Kitakyushu, Fukuoka, Japan; British Antarctic Survey, Cambridge CB3 0ET, England; CAESAR Consultancy, Cambridge, England</t>
  </si>
  <si>
    <t>University of Otago; Kyushu Institute of Technology; UK Research &amp; Innovation (UKRI); Natural Environment Research Council (NERC); NERC British Antarctic Survey</t>
  </si>
  <si>
    <t>Rodger, CJ (corresponding author), Low Frequency Electromagnet Res Ltd, Dunedin, New Zealand.</t>
  </si>
  <si>
    <t>Rodger, Craig/A-1501-2011</t>
  </si>
  <si>
    <t>Rodger, Craig J./0000-0002-6770-2707</t>
  </si>
  <si>
    <t>JAN 15</t>
  </si>
  <si>
    <t>10.1029/2000GL011951</t>
  </si>
  <si>
    <t>392MN</t>
  </si>
  <si>
    <t>WOS:000166415400001</t>
  </si>
  <si>
    <t>Lawrence, AR; Jarvis, MJ</t>
  </si>
  <si>
    <t>Initial comparisons of planetary waves in the stratosphere, mesosphere and ionosphere over Antarctica</t>
  </si>
  <si>
    <t>INTERMEDIATE; HALLEY; LAYERS; WINDS</t>
  </si>
  <si>
    <t>Planetary wave signatures, with periods of approximately 16, 10 and 5 days have been observed at altitudes ranging from 30 km to 220 km over Halley (76 degreesS, 26 degreesW), Antarctica. A comparative analysis of these signatures in the stratosphere, mesosphere and ionosphere has been conducted on a continuous 130-day data sequence in the austral winter of 1997. This analysis utilises stratospheric European Centre for Medium-Range Weather Forecasts (ECMWF) operational analyses, mesospheric Imaging Doppler Interferometer (IDI) data and ionospheric sounding data. The development and decay of these planetary waves were characterised as a function of altitude by selecting period ranges corresponding to each of the 16-day, 10-day and 5-day normal mode oscillations from a wavelet analysis. The observations suggest ducting of the quasi 16-day planetary wave from stratospheric mid-latitudes to mesospheric high-latitudes and a strong link between planetary waves in the mesosphere and F2-region.</t>
  </si>
  <si>
    <t>Univ Cambridge Darwin Coll, Cambridge CB3 9EU, England; British Antarctic Survey, Cambridge CB3 0ET, England</t>
  </si>
  <si>
    <t>Lawrence, AR (corresponding author), Univ Cambridge Darwin Coll, Silver St, Cambridge CB3 9EU, England.</t>
  </si>
  <si>
    <t>10.1029/2000GL000116</t>
  </si>
  <si>
    <t>WOS:000166415400002</t>
  </si>
  <si>
    <t>Lunt, DJ; Valdes, PJ</t>
  </si>
  <si>
    <t>Dust transport to Dome C, Antarctica, at the Last Glacial Maximum and present day</t>
  </si>
  <si>
    <t>GENERAL-CIRCULATION MODEL; ICE-CORE; DESERT DUST; AEROSOL; SIMULATIONS; CLIMATE; ATMOSPHERE; STAGE-2; CYCLE</t>
  </si>
  <si>
    <t>The Antarctic polar ice-core records show large changes in the concentration of dust over glacial-interglacial timescales. This paper explores how much of this variation is due to changes in the transport of dust from arid regions to the ice cores. Back trajectories, initialised from the site of Dome C ice-core, Antarctica, are calculated using an offline trajectory code forced by modelled winds, output from the UKMO Unified Model running under present day and LGM boundary conditions. As well as comparing the present day and LGM back trajectories, their seasonal and interannual variability is also explored. The results suggest that the Patagonian provenance of the Dome C dust can be understood in terms of the atmospheric transport whereas the total change in dust concentration requires changes to the sources or sinks.</t>
  </si>
  <si>
    <t>Univ Reading, Dept Meteorol, Reading RG6 2AH, Berks, England</t>
  </si>
  <si>
    <t>University of Reading</t>
  </si>
  <si>
    <t>Lunt, DJ (corresponding author), Univ Reading, Dept Meteorol, Reading RG6 2AH, Berks, England.</t>
  </si>
  <si>
    <t>Valdes, Paul/T-2004-2019; Valdes, Paul J/C-4129-2013; Lunt, Daniel/G-9451-2011</t>
  </si>
  <si>
    <t>Valdes, Paul/0000-0002-1902-3283; Lunt, Daniel/0000-0003-3585-6928</t>
  </si>
  <si>
    <t>10.1029/2000GL012170</t>
  </si>
  <si>
    <t>WOS:000166415400025</t>
  </si>
  <si>
    <t>Martinson, DG; Steele, M</t>
  </si>
  <si>
    <t>Future of the Arctic sea ice cover: Implications of an Antarctic analog</t>
  </si>
  <si>
    <t>WINTER MIXED LAYER; FRESH-WATER; OCEAN; DISTRIBUTIONS; TEMPERATURE</t>
  </si>
  <si>
    <t>Recent observations reveal a significant change in the upper ocean characteristics of the eastern Arctic in 1995. The change is manifested through the loss of a near-surface layer known as the cold halocline layer (CHL). Without the CHL, the Arctic water column looks and behaves like the Antarctic water column. The expected local impact is the appearance of significant winter ocean heat fluxes (15 - 20 W/m(2)) and reduction of winter ice growth by 70 - 80% relative to years in which the CHL was present. Preliminary results suggest a partial recovery of the CHL in the late 1990's, tracking the weakening of the Arctic Oscillation.</t>
  </si>
  <si>
    <t>Columbia Univ, Lamont Doherty Earth Observ, Palisades, NY 10964 USA; Columbia Univ, Dept Earth &amp; Environm Sci, Palisades, NY 10964 USA; Univ Washington, Appl Phys Lab, Polar Sci Ctr, Seattle, WA 98105 USA</t>
  </si>
  <si>
    <t>Columbia University; Columbia University; University of Washington; University of Washington Seattle</t>
  </si>
  <si>
    <t>Martinson, DG (corresponding author), Columbia Univ, Lamont Doherty Earth Observ, Palisades, NY 10964 USA.</t>
  </si>
  <si>
    <t>Steele, Michael/0000-0001-5083-1775</t>
  </si>
  <si>
    <t>10.1029/2000GL011549</t>
  </si>
  <si>
    <t>WOS:000166415400028</t>
  </si>
  <si>
    <t>Boville, BA; Kiehl, JT; Rasch, PJ; Bryan, FO</t>
  </si>
  <si>
    <t>Improvements to the NCAR CSM-1 for transient climate simulations</t>
  </si>
  <si>
    <t>WATER-VAPOR BUDGET; NATIONAL CENTER; POLAR CLIMATE; SYSTEM MODEL; SEA-ICE; 20TH-CENTURY; METHANE; HALOE; CCM3</t>
  </si>
  <si>
    <t>Improvements to the NCAR Climate System Model, CSM-I, primarily for transient climate forcing simulations, are discussed. The impact of the individual changes is assessed through atmosphere-land or ocean-ice experiments, and through short coupled simulations. A 270-yr control simulation has been performed using the model with all of the changes, defined as CSM-1.3. Trace gas concentrations appropriate for 1870 were used and the model produced a stable surface climate with less deep ocean drift than CSM-1. Changing the aerodynamic roughness length of sea ice to a value appropriate for first year ice reduced the deep ocean salinity trend by a factor of 100 and error in the transport by the Antarctic circumpolar current by 50% (60 x 10(6) m(3) s(-1)). Three new features were added to the Community Climate Model, version 3 (CCM3), which is the atmospheric component of CSM-1. These additions were N2O, CH4, CFC11, and CFC12 as prognostic tracers and the oxidation of CH4 to form water vapor; a prognostic cloud water formulation; and direct radiative effects of sulfate aerosols from a sulfate chemistry model (either online or using previously calculated three-dimensional aerosol loadings). Although these features represent substantial changes to the CCM3 formulation, allowing greatly improved flexibility for climate change experiments, they have relatively modest impact on the control simulation.</t>
  </si>
  <si>
    <t>Natl Ctr Atmospher Res, CDG, Boulder, CO 80307 USA</t>
  </si>
  <si>
    <t>Natl Ctr Atmospher Res, CDG, POB 3000, Boulder, CO 80307 USA.</t>
  </si>
  <si>
    <t>boville@ucar.edu</t>
  </si>
  <si>
    <t>Rasch, Philip J/F-7978-2018; Bryan, Frank/I-1309-2016</t>
  </si>
  <si>
    <t>1520-0442</t>
  </si>
  <si>
    <t>10.1175/1520-0442(2001)014&lt;0164:ITTNCF&gt;2.0.CO;2</t>
  </si>
  <si>
    <t>399EL</t>
  </si>
  <si>
    <t>WOS:000166798400003</t>
  </si>
  <si>
    <t>Miura, K; Ohgiya, S; Hoshino, T; Nemoto, N; Suetake, T; Miura, A; Spyracopoulos, L; Kondo, H; Tsuda, S</t>
  </si>
  <si>
    <t>NMR analysis of type III antifreeze protein intramolecular dimer - Structural basis for enhanced activity</t>
  </si>
  <si>
    <t>MAGNETIC-RESONANCE RELAXATION; MODEL-FREE APPROACH; THERMAL HYSTERESIS; BINDING; MACROMOLECULES; ASSIGNMENTS; MECHANISM; DOMAIN; HELIX; H-1</t>
  </si>
  <si>
    <t>The structure of a new antifreeze protein (AFP) variant, RD3, from antarctic eel pout (Rhigophila dearborni) with enhanced activity has been determined for the first time by nuclear magnetic resonance spectroscopy. RD3 comprises a unique translational topology of two homologous type III AFP globular domains, each containing one flat, ice binding plane. The ice binding plane of the N domain is located similar to3.5 Angstrom behind that of the C domain. The two ice binding planes are located laterally with an angle of 32 +/- 12 degrees between the planes. These results suggest that the C domain plane of RD3 binds first to the ice {1010} prism plane in the (0001) direction, which induces successive ice binding of the N domain in the (0101) direction. This manner of ice binding caused by the unique structural topology of RD3 is thought to be crucial for the significant enhancement of antifreeze activity, especially at low AFP concentrations.</t>
  </si>
  <si>
    <t>Hokkaido Natl Ind Res Inst, Biosci &amp; Chem Div, Sapporo, Hokkaido 0628517, Japan; Varian Japan, Minato Ku, Tokyo 1080023, Japan; Univ Alberta, Dept Biochem, Edmonton, AB T6G 2H7, Canada</t>
  </si>
  <si>
    <t>National Institute of Advanced Industrial Science &amp; Technology (AIST); University of Alberta</t>
  </si>
  <si>
    <t>Hokkaido Natl Ind Res Inst, Biosci &amp; Chem Div, 2-17-2-1 Tsukisamu Higashi, Sapporo, Hokkaido 0628517, Japan.</t>
  </si>
  <si>
    <t>tsuda@hniri.go.jp</t>
  </si>
  <si>
    <t>Ohgiya, Satoru/V-3117-2018; NEMOTO, Nobuaki/ABA-8644-2020; Hoshino, Tamotsu/F-3357-2017; HOSHINO, Tamotsu/R-2959-2019; Kondo, Hidemasa/M-7465-2018; Tsuda, Sakae/M-2756-2018</t>
  </si>
  <si>
    <t>Ohgiya, Satoru/0000-0001-8257-8284; Kondo, Hidemasa/0000-0003-2799-1775; Tsuda, Sakae/0000-0002-1399-0619</t>
  </si>
  <si>
    <t>11200 ROCKVILLE PIKE, SUITE 302, ROCKVILLE, MD, UNITED STATES</t>
  </si>
  <si>
    <t>JAN 12</t>
  </si>
  <si>
    <t>10.1074/jbc.M007902200</t>
  </si>
  <si>
    <t>392UL</t>
  </si>
  <si>
    <t>WOS:000166430900061</t>
  </si>
  <si>
    <t>Blunier, T; Brook, EJ</t>
  </si>
  <si>
    <t>Timing of millennial-scale climate change in Antarctica and Greenland during the last glacial period</t>
  </si>
  <si>
    <t>ICE CORE; NORTH-ATLANTIC; ISOTOPE; RECORD; DEGLACIATION; TRANSITION; PROFILES; STATION; GISP2; CYCLE</t>
  </si>
  <si>
    <t>A precise relative chronology for Greenland and West Antarctic paleotemperature is extended to 90,000 years ago, based on correlation of atmospheric methane records from the Greenland Ice Sheet Project 2 and Byrd ice cores. Over this period, the onset of seven major millennial-scale warmings in Antarctica preceded the onset of Greenland warmings by 1500 to 3000 years. In general, Antarctic temperatures increased gradually while Greenland temperatures were decreasing or constant, and the termination of Antarctic warming was apparently coincident with the onset of rapid warming in Greenland. This pattern provides further evidence for the operation of a bipolar see-saw in air temperatures and an oceanic teleconnection between the hemispheres on millennial time scales.</t>
  </si>
  <si>
    <t>Princeton Univ, Dept Geosci, Princeton, NJ 08544 USA; Univ Bern, Inst Phys, CH-3012 Bern, Switzerland; Washington State Univ, Dept Geol, Vancouver, WA 98686 USA; Washington State Univ, Environm Sci Program, Vancouver, WA 98686 USA</t>
  </si>
  <si>
    <t>Princeton University; University of Bern; Washington State University; Washington State University</t>
  </si>
  <si>
    <t>Princeton Univ, Dept Geosci, Guyot Hall, Princeton, NJ 08544 USA.</t>
  </si>
  <si>
    <t>blunier@princeton.edu</t>
  </si>
  <si>
    <t>Brook, Edward/AAB-7807-2021; Blunier, Thomas/M-4609-2014</t>
  </si>
  <si>
    <t>Blunier, Thomas/0000-0002-6065-7747</t>
  </si>
  <si>
    <t>JAN 5</t>
  </si>
  <si>
    <t>10.1126/science.291.5501.109</t>
  </si>
  <si>
    <t>389VJ</t>
  </si>
  <si>
    <t>WOS:000166259100044</t>
  </si>
  <si>
    <t>Monnin, E; Indermühle, A; Dällenbach, A; Flückiger, J; Stauffer, B; Stocker, TF; Raynaud, D; Barnola, JM</t>
  </si>
  <si>
    <t>Atmospheric CO2 concentrations over the last glacial termination</t>
  </si>
  <si>
    <t>POLAR ICE CORES; GREENLAND ICE; CLIMATE-CHANGE; ANTARCTICA; HOLOCENE; RECORD; DEGLACIATION; INCREASE; PERIOD; EVENT</t>
  </si>
  <si>
    <t>A record of atmospheric carbon dioxide (CO2) concentration during the transition from the Last Glacial Maximum to the Holocene, obtained from the Dome Concordia, Antarctica, ice care, reveals that an increase of 76 parts per million by volume occurred over a period of 6000 years in four clearly distinguishable intervals. The close correlation between CO2 concentration and Antarctic temperature indicates that the Southern Ocean played an important role in causing the CO2 increase. However, the similarity of changes in CO2 concentration and variations of atmospheric methane concentration suggests that processes in the tropics and in the Northern Hemisphere, where the main sources for methane are Located, also had substantial effects on atmospheric CO2 concentrations.</t>
  </si>
  <si>
    <t>Univ Bern, Inst Phys, CH-3012 Bern, Switzerland; CNRS, Lab Glaciol &amp; Geophys Environm, F-38402 St Martin Dheres, France</t>
  </si>
  <si>
    <t>University of Bern; Centre National de la Recherche Scientifique (CNRS)</t>
  </si>
  <si>
    <t>Monnin, E (corresponding author), Univ Bern, Inst Phys, Sidlerstr 5, CH-3012 Bern, Switzerland.</t>
  </si>
  <si>
    <t>Stocker, Thomas F/B-1273-2013; raynaud, dominique/ABG-4718-2020; Raynaud, Dominique/H-9626-2016; Fluckiger, Jacqueline/G-3457-2011</t>
  </si>
  <si>
    <t>10.1126/science.291.5501.112</t>
  </si>
  <si>
    <t>WOS:000166259100045</t>
  </si>
  <si>
    <t>Lamb, MF; Sabine, CL; Feely, RA; Wanninkhof, R; Key, RM; Johnson, GC; Millero, FJ; Lee, K; Peng, TH; Kozyr, A; Bullister, JL; Greeley, D; Byrne, RH; Chipman, DW; Dickson, AG; Goyet, C; Guenther, PR; Ishii, M; Johnson, KM; Keeling, CD; Ono, T; Shitashima, K; Tilbrook, B; Takahashi, T; Wallace, DWR; Watanabe, YW; Winn, C; Wong, CS</t>
  </si>
  <si>
    <t>Consistency and synthesis of Pacific Ocean CO2 survey data</t>
  </si>
  <si>
    <t>DEEP-SEA RESEARCH PART II-TOPICAL STUDIES IN OCEANOGRAPHY</t>
  </si>
  <si>
    <t>CARBON-DIOXIDE ANALYSIS; NORTH-ATLANTIC OCEAN; INDIAN-OCEAN; DISSOCIATION-CONSTANTS; WATER COLUMN; INORGANIC CARBON; SEAWATER MEDIA; MARINE; ACID; CALIBRATION</t>
  </si>
  <si>
    <t>Between 1991 and 1999, carbon measurements were made on twenty-five WOCE/JGOFS/OACES cruises in the Pacific Ocean. Investigators from 15 different laboratories and four countries analyzed at least two of the four measurable ocean carbon parameters (DIC, TAlk, fCO(2), and pH) on almost all cruises. The goal of this work is to assess the quality of the Pacific carbon survey data and to make recommendations for generating a unified data set that is consistent between cruises. Several different lines of evidence were used to examine the consistency, including comparison of calibration techniques, results from certified reference material analyses, precision of at-sea replicate analyses, agreement between shipboard analyses and replicate shore based analyses, comparison of deep water values at locations where two or more cruises overlapped or crossed, consistency with other hydrographic parameters, and internal consistency with multiple carbon parameter measurements. With the adjustments proposed here, the data can be combined to generate a Pacific Ocean data set., with over 36,000 unique sample locations analyzed for at least two carbon parameters in most cases. The best data coverage was for DIC, which has an estimated overall accuracy of similar to3 mu mol kg(-1). TAlk, the second most common carbon parameter analyzed, had an estimated overall accuracy of similar to 5 mu mol kg(-1). To obtain additional details on this study, including detailed crossover plots and information on the availability of the compiled, adjusted data set, visit the Global Data Analysis Project web site at: http://cdiac.esd.oml.gov/oceans/glodap. (C) 2001 Elsevier Science Ltd. All rights reserved.</t>
  </si>
  <si>
    <t>NOAA, Pacific Marine Environm Lab, Seattle, WA 98115 USA; NOAA, Atlantic Oceanog &amp; Meteorol Lab, Miami, FL 33149 USA; Princeton Univ, Dept Geosci, AOS Program, Princeton, NJ 08544 USA; Univ Miami, Rosenstiel Sch Marine &amp; Atmospher Sci, Miami, FL 33149 USA; Oak Ridge Natl Lab, Carbon Dioxide Informat Anal Ctr, Oak Ridge, TN 37831 USA; Univ S Florida, Dept Marine Sci, St Petersburg, FL 33701 USA; Columbia Univ, Lamont Doherty Earth Observ, Palisades, NY 10964 USA; Univ Calif San Diego, La Jolla, CA 92093 USA; Woods Hole Oceanog Inst, Marine Chem &amp; Geochem Dept, Woods Hole, MA 02543 USA; Meteorol Res Inst, Tsukuba, Ibaraki 3050052, Japan; US DOE, BNL, Upton, NY 11971 USA; Natl Res Inst Fisheries Sci, Kanazawa Ku, Yokohama 2368648, Japan; Cent Res Inst Elect Power Ind, Abiko, Chiba 2701194, Japan; Antarctic CRC, Hobart, Tas 7001, Australia; CSIRO, Marine Res, Hobart, Tas 7001, Australia; Natl Inst Resources &amp; Environm, Tsukuba, Ibaraki 3058569, Japan; Univ Hawaii, Dept Oceanog, Honolulu, HI 96822 USA; Fisheries Oceans Canada Inst Ocean Sci, Sidney, BC V8L 4B2, Canada</t>
  </si>
  <si>
    <t>National Oceanic Atmospheric Admin (NOAA) - USA; National Oceanic Atmospheric Admin (NOAA) - USA; Atlantic Oceanographic &amp; Meteorological Laboratory (AOML); Princeton University; University of Miami; United States Department of Energy (DOE); Oak Ridge National Laboratory; State University System of Florida; University of South Florida; Columbia University; University of California System; University of California San Diego; Woods Hole Oceanographic Institution; Meteorological Research Institute - Japan; United States Department of Energy (DOE); Brookhaven National Laboratory; Japan Fisheries Research &amp; Education Agency (FRA); Central Research Institute of Electric Power Industry - Japan; Commonwealth Scientific &amp; Industrial Research Organisation (CSIRO); National Institute of Advanced Industrial Science &amp; Technology (AIST); University of Hawaii System; Fisheries &amp; Oceans Canada</t>
  </si>
  <si>
    <t>NOAA, Pacific Marine Environm Lab, 7600 Sand Point Way Ne, Seattle, WA 98115 USA.</t>
  </si>
  <si>
    <t>Tilbrook, Bronte/W-4007-2019; Johnson, Gregory C/I-6559-2012; Dickson, Andrew Gilmore/HPE-2168-2023; Lee, Kitack/G-7184-2015; Feely, Richard A./ABI-5740-2020</t>
  </si>
  <si>
    <t>Tilbrook, Bronte/0000-0001-9385-3827; Johnson, Gregory C/0000-0002-8023-4020; Lee, Kitack/0000-0002-4226-2303; Ishii, Masao/0000-0002-7328-4599</t>
  </si>
  <si>
    <t>0967-0645</t>
  </si>
  <si>
    <t>1879-0100</t>
  </si>
  <si>
    <t>DEEP-SEA RES PT II</t>
  </si>
  <si>
    <t>Deep-Sea Res. Part II-Top. Stud. Oceanogr.</t>
  </si>
  <si>
    <t>10.1016/S0967-0645(01)00093-5</t>
  </si>
  <si>
    <t>507CE</t>
  </si>
  <si>
    <t>WOS:000173008600002</t>
  </si>
  <si>
    <t>Gnanadesikan, A; Slater, RD; Gruber, N; Sarmiento, JL</t>
  </si>
  <si>
    <t>Oceanic vertical exchange and new production: a comparison between models and observations</t>
  </si>
  <si>
    <t>PARTICULATE ORGANIC-MATTER; GENERAL-CIRCULATION MODELS; ANTARCTIC BOTTOM WATER; EQUATORIAL PACIFIC; EXPORT PRODUCTION; ABYSSAL OCEAN; CARBON-CYCLE; WORLD OCEAN; DEEP-OCEAN; EL-NINO</t>
  </si>
  <si>
    <t>This paper explores the relationship between large-scale vertical exchange and the cycling of biologically active nutrients within the ocean. It considers how the parameterization of vertical and lateral mixing effects estimates of new production (defined as the net uptake of phosphate). A baseline case is run with low vertical mixing in the pycnocline and a relatively low lateral diffusion coefficient. The magnitude of the diapycnal diffusion coefficient is then increased within the pycnocline, within the pycnocline of the Southern Ocean, and in the top 50 m, while the lateral diffusion coefficient is increased throughout the ocean. It is shown that it is possible to change lateral and vertical diffusion coefficients so as to preserve the structure of the pycnocline while changing the pathways of vertical exchange and hence the cycling of nutrients. Comparisons between the different models reveal that new production is very sensitive to the level of vertical mixing within the pycnocline, but only weakly sensitive to the level of lateral and upper ocean diffusion. The results are compared with two estimates of new production based on ocean color and the annual cycle of nutrients. On a global scale, the observational estimates are most consistent with the circulation produced with a low diffusion coefficient within the pycnocline, resulting in a new production of around 10 GtC yr(-1). On a regional level, however, large differences appear between observational and model based estimates. In the tropics, the models yield systematically higher levels of new production than the observational estimates. Evidence from the Eastern Equatorial Pacific suggests that this is due to both biases in the data used to generate the observational estimates and problems with the models. In the North Atlantic, the observational estimates vary more than the models, due in part to the methodology by which the nutrient-based climatology is constructed. In the North Pacific, the modelled values of new production are all much lower than the observational estimates, probably as a result of the failure to form intermediate water with the right properties. The results demonstrate the potential usefulness of new production for evaluating circulation models. (C) 2001 Published by Elsevier Science Ltd.</t>
  </si>
  <si>
    <t>Princeton Univ, AOS Program, Princeton, NJ 08544 USA; Univ Calif Los Angeles, Dept Geosci, Los Angeles, CA USA</t>
  </si>
  <si>
    <t>Princeton University; University of California System; University of California Los Angeles</t>
  </si>
  <si>
    <t>Princeton Univ, AOS Program, POb CN710, Princeton, NJ 08544 USA.</t>
  </si>
  <si>
    <t>gnana@splash.princeton.edu; rdslater@splash.prineeton.edu; jls@splash.princeton.edu</t>
  </si>
  <si>
    <t>Gruber, Nicolas/B-7013-2009; Gnanadesikan, Anand/A-2397-2008</t>
  </si>
  <si>
    <t>Gruber, Nicolas/0000-0002-2085-2310; Gnanadesikan, Anand/0000-0001-5784-1116</t>
  </si>
  <si>
    <t>WOS:000173008600016</t>
  </si>
  <si>
    <t>C</t>
  </si>
  <si>
    <t>Solheim, JE; Kamben, R; Ostensen, R; Thomassen, T</t>
  </si>
  <si>
    <t>Provencal, JL; Shipman, HL; MacDonald, J; Goodchild, S</t>
  </si>
  <si>
    <t>Pulsating white dwarfs and dancing aurora</t>
  </si>
  <si>
    <t>12TH EUROPEAN CONFERENCE ON WHITE DWARF STARS, PROCEEDINGS</t>
  </si>
  <si>
    <t>ASTRONOMICAL SOCIETY OF THE PACIFIC CONFERENCE SERIES</t>
  </si>
  <si>
    <t>Proceedings Paper</t>
  </si>
  <si>
    <t>12th European Conference on White Dwarf Stars</t>
  </si>
  <si>
    <t>UNIV DELAWARE, NEWARK, DE</t>
  </si>
  <si>
    <t>UNIV DELAWARE</t>
  </si>
  <si>
    <t>To do photometric observations of pulsating white dwarfs in the auroral zone, seemed for a long time to be an impossible task. The rapidly changing, bright sky made it only possible to do precision photometry down to similar to 7th magnitude. With the introduction of a CCD-photometer with windowed readout, we have demonstrated that we can do continuous photometry of pulsating stars fainter than similar to 14th magnitude with a 50 cm telescope. This opens the possibility to long light curves in the long Arctic or Antarctic nights.</t>
  </si>
  <si>
    <t>Univ Tromso, Inst Fys, N-9037 Tromso, Norway</t>
  </si>
  <si>
    <t>UiT The Arctic University of Tromso</t>
  </si>
  <si>
    <t>Solheim, JE (corresponding author), Univ Tromso, Inst Fys, N-9037 Tromso, Norway.</t>
  </si>
  <si>
    <t>ASTRONOMICAL SOC PACIFIC</t>
  </si>
  <si>
    <t>390 ASHTON AVE, SAN FRANCISCO, CA 94112 USA</t>
  </si>
  <si>
    <t>1-58381-058-7</t>
  </si>
  <si>
    <t>ASTR SOC P</t>
  </si>
  <si>
    <t>Conference Proceedings Citation Index - Science (CPCI-S)</t>
  </si>
  <si>
    <t>BS48U</t>
  </si>
  <si>
    <t>WOS:000170040900060</t>
  </si>
  <si>
    <t>Lachlan-Cope, T; Turner, J; Connolley, W</t>
  </si>
  <si>
    <t>AMS; AMS</t>
  </si>
  <si>
    <t>The effect of axi-symmetric forcing on the variability of the Antarctic climate</t>
  </si>
  <si>
    <t>12TH SYMPOSIUM ON GLOBAL CHANGE AND CLIMATE VARIATIONS</t>
  </si>
  <si>
    <t>12th Symposium on Global Change and Climate Variations</t>
  </si>
  <si>
    <t>JAN 14-18, 2001</t>
  </si>
  <si>
    <t>ALBUQUERQUE, NM</t>
  </si>
  <si>
    <t>Lachlan-Cope, T (corresponding author), British Antarctic Survey, High Cross,Madingley Rd, Cambridge CB3 0ET, England.</t>
  </si>
  <si>
    <t>AMER METEOROLOGICAL SOCIETY</t>
  </si>
  <si>
    <t>45 BEACON ST, BOSTON, MA 02108 USA</t>
  </si>
  <si>
    <t>BV01M</t>
  </si>
  <si>
    <t>WOS:000177601900023</t>
  </si>
  <si>
    <t>A non-linear response of the Antarctic oscillation to stratospheric ozone depletion</t>
  </si>
  <si>
    <t>CLIMATE-CHANGE; EXTRATROPICAL CIRCULATION; ANNULAR MODES; TRENDS; SIMULATION</t>
  </si>
  <si>
    <t>The effect of stratospheric ozone loss on Southern Hemispheric extratropical circulation is explored using an atmosphere-only model. The main response is a shift in the Antarctic Oscillation during October-March towards its high phase whereby atmospheric mass shifts from highlatitudes poleward of 60degreesS to a midlatitude band centred around 45degreesS. As the Antarctic Oscillation is an internal mode of atmospheric variability, this response is an example of a non-linear change in climate to anthropogenic forcing and shows that stratospheric forcing can influence the troposphere.</t>
  </si>
  <si>
    <t>Met Off, Hadley Ctr Climate Predict &amp; Res, Bracknell RG12 2SY, Berks, England</t>
  </si>
  <si>
    <t>Sexton, DMH (corresponding author), Met Off, Hadley Ctr Climate Predict &amp; Res, London Rd, Bracknell RG12 2SY, Berks, England.</t>
  </si>
  <si>
    <t>WOS:000177601900092</t>
  </si>
  <si>
    <t>Warmbein, B</t>
  </si>
  <si>
    <t>Antarctic-Arctic contrasts - Key pointers to mesospheric dynamics and energetics</t>
  </si>
  <si>
    <t>15TH ESA SYMPOSIUM ON EUROPEAN ROCKET AND BALLOON PROGRAMMES AND RELATED RESEARCH, PROCEEDINGS</t>
  </si>
  <si>
    <t>ESA SPECIAL PUBLICATIONS</t>
  </si>
  <si>
    <t>15th ESA Symposium on European Rocket and Balloon Programmes and Related Research</t>
  </si>
  <si>
    <t>MAY 28-31, 2001</t>
  </si>
  <si>
    <t>BIARRITZ, FRANCE</t>
  </si>
  <si>
    <t>SUMMER ECHOES; HALLEY; RADAR; TEMPERATURES; MESOPAUSE; DYNASONDE; WINDS; WAVE</t>
  </si>
  <si>
    <t>In the mesosphere and lower thermosphere the contrasts between the Antarctic and Arctic regarding both the energy inputs and the consequent dynamics, energetics and chemistry mean that comparative polar observations can often provide the key to determining quantifiable links between cause and effect. Yet, due to logistical constraints, basic measurements of the characteristics of the Antarctic mesosphere and lower thermosphere have tended to lag behind those in the Arctic by many years. The British Antarctic Survey (BAS) is embarking upon a core programme of research into the atmosphere between 60 and 150 km altitude which includes deployment of ground-based instrumentation to enhance that already in operation at both Halley (76 degreesS, 27 degreesW) and Rothera (68 degreesS, 68 degreesW) research stations and also on the Antarctic Plateau. This will build upon the success of the rocket-borne failing-sphere observations of mesopause temperatures made, in a collaborative venture between the British Antarctic Survey and the University of Bonn, in 1998 at Rothera and will provide scientific instrumentation able to observationally complement any future rocket programmes in the Antarctic.</t>
  </si>
  <si>
    <t>Jarvis, MJ (corresponding author), British Antarctic Survey, Madingley Rd, Cambridge CB3 0ET, England.</t>
  </si>
  <si>
    <t>ESA PUBLICATIONS DIVISION C/O ESTEC</t>
  </si>
  <si>
    <t>2200 AG NOORDWIJK</t>
  </si>
  <si>
    <t>PO BOX 299, 2200 AG NOORDWIJK, NETHERLANDS</t>
  </si>
  <si>
    <t>0379-6566</t>
  </si>
  <si>
    <t>92-9092-725-9</t>
  </si>
  <si>
    <t>ESA SP PUBL</t>
  </si>
  <si>
    <t>Engineering, Aerospace; Meteorology &amp; Atmospheric Sciences</t>
  </si>
  <si>
    <t>Engineering; Meteorology &amp; Atmospheric Sciences</t>
  </si>
  <si>
    <t>BT34U</t>
  </si>
  <si>
    <t>WOS:000172696400021</t>
  </si>
  <si>
    <t>Cocquerez, P; Guigue, P; Guibon, R; Phulpin, T; Durand, M; Lefevre, JP; Eymard, M; Lafourcade, M</t>
  </si>
  <si>
    <t>Test flights of CNES stratospheric superpressure balloons in experimental Arctic campaigns 2000-2001 objectives and results</t>
  </si>
  <si>
    <t>Superpressure balloons float at constant air density levels for duration exceeding 2 months. One scientific use is to study the dynamics of air parcels, using the quasi Lagrangian property of their trajectories. CNES started in 1995 the development of such balloons for low stratosphere : the STRATEOLE project, whose principal investigator was the Laboratoire de Meteorologic Dynamique. The purpose was the study of the dynamics of the dilution process of the winter polar vortex over Antarctic. The initial design of the balloons and related systems, done by extrapolation of existing small tropospheric balloons, did show a poor reliability for use at low latitude and an incompatibility with Arctic conditions. In 1999, CNES redesigned the balloons and associated systems, with innovative solutions. Today the validation process of the now design is well advanced, in particular 15 short duration flights and 3 long duration flights have been conducted in winter and spring from the Arctic base of Esrange (Sweden). The results, although still partial due to the exceptionally warm conditions experienced this year in the low stratosphere over Arctic are very positive and allow to restart the preparation of the VORCORE campaign over Antarctic in fall 2003.</t>
  </si>
  <si>
    <t>Ctr Natl Etud Spatiales, F-31400 Toulouse, France</t>
  </si>
  <si>
    <t>Cocquerez, P (corresponding author), Ctr Natl Etud Spatiales, Balloon Vehicles,18 Av Edouard Belin, F-31400 Toulouse, France.</t>
  </si>
  <si>
    <t>WOS:000172696400100</t>
  </si>
  <si>
    <t>Honda, H; Hashida, G; Morimoto, S; Yajima, N; Nakazawa, T</t>
  </si>
  <si>
    <t>Stratospheric whole air sampling at Antarctica using a compact grab sampler</t>
  </si>
  <si>
    <t>From 1996 to 1999, a stratospheric air sampling was successfully carried out at Japanese Antarctic base, Syowa Station (69 degreesS, 40 degreesE). A main experiment was cryo sampling and grab sampling experiments were performed as a part of the project. The grab samplers equip one or two sample bottles, and 11 kg or 14 kg in weight. respectively, The sampler can collect enough amounts of air at 25 km altitude to analyze minor constituents such as CO2 and CH4. The samplers and ballooning facilities were designed simple, handy and reliable so that they can be launched, tracked and recovered by untrained personnel. Utilizing the GPS positioning, an onboard system and recovery operation have become simple and easy. In this paper the design and functions of the two types of samplers and flight performance are described. Another application of the grab sampler which is capable for recovering on the sea is also presented.</t>
  </si>
  <si>
    <t>Inst Space &amp; Astronaut Sci, Sagamihara, Kanagawa 2298510, Japan</t>
  </si>
  <si>
    <t>Japan Aerospace Exploration Agency (JAXA); Institute of Space &amp; Astronautical Science (ISAS)</t>
  </si>
  <si>
    <t>Honda, H (corresponding author), Inst Space &amp; Astronaut Sci, Sagamihara, Kanagawa 2298510, Japan.</t>
  </si>
  <si>
    <t>Morimoto, Shinji/GQR-1817-2022</t>
  </si>
  <si>
    <t>WOS:000172696400103</t>
  </si>
  <si>
    <t>Stringer, GL; Newell, SJ</t>
  </si>
  <si>
    <t>Design and installation of the fog prediction system in the antarctic</t>
  </si>
  <si>
    <t>17TH INTERNATIONAL CONFERENCE ON INTERACTIVE INFORMATION AND PROCESSING SYSTEMS (IIPS) FOR METEOROLOGY, OCEANOGRAPHY, AND HYDROLOGY</t>
  </si>
  <si>
    <t>17th International Conference on Interactive Information and Processing Systems (IIPS) for Meteorology, Oceanography and Hydrology</t>
  </si>
  <si>
    <t>JAN 14-19, 2001</t>
  </si>
  <si>
    <t>Coastal Environm Syst, Seattle, WA 98134 USA</t>
  </si>
  <si>
    <t>Stringer, GL (corresponding author), Coastal Environm Syst, 820 1st Ave S, Seattle, WA 98134 USA.</t>
  </si>
  <si>
    <t>Meteorology &amp; Atmospheric Sciences; Oceanography; Water Resources</t>
  </si>
  <si>
    <t>BV02Z</t>
  </si>
  <si>
    <t>WOS:000177651500003</t>
  </si>
  <si>
    <t>Smith, BD; Engelhardt, BE; Mutz, DH; Crawford, JP</t>
  </si>
  <si>
    <t>IEEE; IEEE</t>
  </si>
  <si>
    <t>Automated planning for the modified antarctic mapping mission</t>
  </si>
  <si>
    <t>2001 IEEE AEROSPACE CONFERENCE PROCEEDINGS, VOLS 1-7</t>
  </si>
  <si>
    <t>IEEE AEROSPACE CONFERENCE PROCEEDINGS</t>
  </si>
  <si>
    <t>IEEE Aerospace Conference</t>
  </si>
  <si>
    <t>MAR 10-17, 2001</t>
  </si>
  <si>
    <t>BIG SKY, MT</t>
  </si>
  <si>
    <t>The RadarSAT Modified Antarctic Mapping Mission (MAMM) ran from September to November 2000. The MAMM mission consisted of over 2400 synthetic aperture radar (SAR) data takes over Antarctica that had to satisfy coverage and other scientific criteria while obeying tight resource and operational constraints. Developing these plans is a time and knowledge intensive effort. It required over a work-year to manually develop a comparable plan for AMM-1, the precursor mission to MAMM. This paper describes the automated mission planning system for MAMM, which dramatically reduced mission planning costs to just a few work-weeks, and enabled rapid generation of what-if scenarios for evaluating mission-design trades. This latter capability informed several critical design decisions and was instrumental in accurately costing the mission. This paper describes the mission, the planning problem, the system architecture, the planning challenges involved, and the impact of the automated planning system on planning and operating the mission.</t>
  </si>
  <si>
    <t>CALTECH, Jet Prop Lab, Pasadena, CA 91109 USA</t>
  </si>
  <si>
    <t>National Aeronautics &amp; Space Administration (NASA); NASA Jet Propulsion Laboratory (JPL); California Institute of Technology</t>
  </si>
  <si>
    <t>Smith, BD (corresponding author), CALTECH, Jet Prop Lab, 4800 Oak Grove Dr,M-S 126-347, Pasadena, CA 91109 USA.</t>
  </si>
  <si>
    <t>IEEE</t>
  </si>
  <si>
    <t>345 E 47TH ST, NEW YORK, NY 10017 USA</t>
  </si>
  <si>
    <t>1095-323X</t>
  </si>
  <si>
    <t>0-7803-6599-2</t>
  </si>
  <si>
    <t>AEROSP CONF PROC</t>
  </si>
  <si>
    <t>Engineering, Aerospace; Engineering, Electrical &amp; Electronic</t>
  </si>
  <si>
    <t>Engineering</t>
  </si>
  <si>
    <t>BT34X</t>
  </si>
  <si>
    <t>WOS:000172696700017</t>
  </si>
  <si>
    <t>Behar, A; Carsey, F; Lane, A; Engelhardt, H</t>
  </si>
  <si>
    <t>The Antarctic Ice Borehole Probe</t>
  </si>
  <si>
    <t>The Antarctic Ice Borehole Probe mission is a glaciological investigation, scheduled for November 2000-January 2001, that will acquire visible-light images and video in a hot-water drilled hole in the West Antarctic ice sheet, The objectives of the probe are to observe ice-bed interactions with a downward looking camera, and ice inclusions and structure. including hypothesized ice accretion. with a side-looking camera. The Probe mission also serves as a stepping-stone in the development of technology to acquire data in extreme ice and liquid environments. The information and experience will aid projects involving exploration in ice/liquid environments, including missions to Lake Vostok in Antarctica, Mars Polar Caps and Europa. Jupiter's moon. This focus of this paper is to describe the design and use of the probe.</t>
  </si>
  <si>
    <t>CALTECH, Jet Prop Lab, Avion Syst &amp; Technol Div, Pasadena, CA 91109 USA</t>
  </si>
  <si>
    <t>California Institute of Technology; National Aeronautics &amp; Space Administration (NASA); NASA Jet Propulsion Laboratory (JPL)</t>
  </si>
  <si>
    <t>Behar, A (corresponding author), CALTECH, Jet Prop Lab, Avion Syst &amp; Technol Div, 107-102, Pasadena, CA 91109 USA.</t>
  </si>
  <si>
    <t>WOS:000172696700036</t>
  </si>
  <si>
    <t>Shillcutt, K; Whittaker, W</t>
  </si>
  <si>
    <t>IEEE; IEEE; IEEE</t>
  </si>
  <si>
    <t>Solar navigational planning for robotic explorers</t>
  </si>
  <si>
    <t>2001 IEEE INTERNATIONAL CONFERENCE ON ROBOTICS AND AUTOMATION, VOLS I-IV, PROCEEDINGS</t>
  </si>
  <si>
    <t>IEEE INTERNATIONAL CONFERENCE ON ROBOTICS AND AUTOMATION</t>
  </si>
  <si>
    <t>IEEE International Conference on Robotics and Automation</t>
  </si>
  <si>
    <t>MAY 21-26, 2001</t>
  </si>
  <si>
    <t>SEOUL, SOUTH KOREA</t>
  </si>
  <si>
    <t>This research considers the sin? motion and terrain in navigational planning. Robotic exploration of remote areas depends heavily on efficient use of power resources. An orbital ephemeris and terrain data are incorporated into a robotic planner to predict shadowing and solar power generation. The simulation and evaluation of coverage patterns are described, as well as searches,for continually sunlit paths or for nearby locations suitable fit, recharging or communicating with Earth. Aspects of the research were implemented as part of the Robotic Antarctic Meteorite Search project, for which simulations and field test results are given.</t>
  </si>
  <si>
    <t>NASA, Lyndon B Johnson Space Ctr, Houston, TX 77058 USA</t>
  </si>
  <si>
    <t>National Aeronautics &amp; Space Administration (NASA); NASA Johnson Space Center</t>
  </si>
  <si>
    <t>Shillcutt, K (corresponding author), NASA, Lyndon B Johnson Space Ctr, 2101 NASA Rd 1 Code ER2, Houston, TX 77058 USA.</t>
  </si>
  <si>
    <t>1050-4729</t>
  </si>
  <si>
    <t>0-7803-6576-3</t>
  </si>
  <si>
    <t>IEEE INT CONF ROBOT</t>
  </si>
  <si>
    <t>Automation &amp; Control Systems; Engineering, Electrical &amp; Electronic; Robotics</t>
  </si>
  <si>
    <t>Automation &amp; Control Systems; Engineering; Robotics</t>
  </si>
  <si>
    <t>BT31J</t>
  </si>
  <si>
    <t>WOS:000172615800227</t>
  </si>
  <si>
    <t>Apostolopoulos, DS; Pedersen, L; Shamah, BN; Shillcutt, K; Wagner, MD; Whittaker, WL</t>
  </si>
  <si>
    <t>Robotic Antarctic meteorite search: Outcomes</t>
  </si>
  <si>
    <t>IEEE International Conference on Robotics and Automation ICRA</t>
  </si>
  <si>
    <t>robotic meteorite search; science autonomy</t>
  </si>
  <si>
    <t>Automation of the search for and classification of Antarctic meteorites offers a unique case for early demonstration of robotics in a scenario analogous to geological exploratory missions to other planets and to the Earth's extremes. Moreover, the discovery of new meteorite samples is of great value because meteorites are the only significant source of extraterrestrial material available to scientists. In this paper we focus on the primary outcomes and technical lessons learned from the first field demonstration of autonomous search and in situ classification of Antarctic meteorites by a robot. Using a novel autonomous control architecture, specialized science sensing, combined manipulation and visual servoing, and Bayesian classification, the Nomad robot classified five indigenous meteorites during an expedition to the remote site of Elephant Moraine in January 2000. Nomad's expedition proved the rudiments of science autonomy and exemplified the merits of machine learning techniques for autonomous geological classification in real-world settings. On the other hand, the expedition showcased the difficulty in executing reliable robotic deployment of science sensors and a limited performance in the speed and coverage of autonomous search.</t>
  </si>
  <si>
    <t>Carnegie Mellon Univ, Inst Robot, Pittsburgh, PA 15213 USA</t>
  </si>
  <si>
    <t>Carnegie Mellon University</t>
  </si>
  <si>
    <t>Carnegie Mellon Univ, Inst Robot, Pittsburgh, PA 15213 USA.</t>
  </si>
  <si>
    <t>dalv@ri.cmu.edu; pedersen+@ri.cmu.edu; bshamah@ri.cmu.edu; kimberly@ri.cmu.edu; mwagner@ri.cmu.edu; red@ri.cmu.edu</t>
  </si>
  <si>
    <t>2577-087X</t>
  </si>
  <si>
    <t>WOS:000172615800665</t>
  </si>
  <si>
    <t>Occurrence of endoparasitic worms in a fish, Parachaenichthys charcoti (Bathydraconidae), off the South Shetland Islands (Antarctica)</t>
  </si>
  <si>
    <t>Digenea; Cestoda; Nematoda; Acanthocephala; Parachaenichthys charcoti; fish; Antarctica</t>
  </si>
  <si>
    <t>WEDDELL SEA; ACANTHOCEPHALA; NEMATODA; ECOLOGY; DIGENEA</t>
  </si>
  <si>
    <t>In total, 27 specimens of Parachaenichthys charcoti (Vaillant, 1906) caught off the South Shetland Islands were examined. Internal parasitic worms of 18 species and four unidentified larval forms were found: Acanthocephala (nine species, including five in the cystacanth stage), Digenea (seven species), Cestoda (three larval forms) and Nematoda (two species, including one in the larval stage, and one unidentified larval form). About 90% of the parasites utilized fishes as either intermediate or paratenic hosts. All species found at the adult stage occurred in the lumen of the alimentary tract. Metacanrhocephalus johnstoni and diphyllobothriid plerocercoids are reported from P. charcoti for the first time. The level of infection increased in parallel with the fish size with a maximum of 1260 worms in one of the fish longer than 40 cm. Distinct differences of infections in two areas (fjord and open sea) were found. Five species, M. johnstoni, M. campbelli, Corynosoma arctocephali, C. shackletoni and Macvicaria georgiana, occurred only in Admiralty Bay, while Glomericirrus macrouri occurred only in Bransfield Strait. Of the remaining species, five, Aspersentis megarhynchus, Corynosoma hamanni, C. pseudahamanni, Genolinea bowersi and Ascarophis nototheniae, were 10 to 60 times more numerous in Admiralty Bay than in the open sea. A further three species, Metacanthocephalus dalmori, Lepidapedon garrardi and Elytrophalloides oatesi, were 2.5-9.5 times more numerous there. In contrast, Corynasoma bullosum and Lecithaster macrocotyle were 69 times and almost five times more numerous in the open sea, respectively. Levels of infections with Neolebouria antarctica, as well as with all worms in the larval stage, bilocular and trilocular cercoids, plerocercoids, Pseudoterranova decipiens and Contracaecum spp., were similar in both environments.</t>
  </si>
  <si>
    <t>JAN</t>
  </si>
  <si>
    <t>404AR</t>
  </si>
  <si>
    <t>WOS:000167075700004</t>
  </si>
  <si>
    <t>Rajaram, G; Dhar, A; Kumar, S</t>
  </si>
  <si>
    <t>Malingre, M</t>
  </si>
  <si>
    <t>Response of geomagnetic variations and 30 MHz riometer absorption, at Indian Antarctic Station MAITRI, to conditions of zero and high solar wind</t>
  </si>
  <si>
    <t>ADVANCES IN AURORAL PHYSICS</t>
  </si>
  <si>
    <t>ADVANCES IN SPACE RESEARCH-SERIES</t>
  </si>
  <si>
    <t>D3 2 Symposium of COSPAR Scientific Commission D held at the 33rd COSPAR Scientific Assembly</t>
  </si>
  <si>
    <t>JUL, 2000</t>
  </si>
  <si>
    <t>WARSAW, POLAND</t>
  </si>
  <si>
    <t>INTERPLANETARY MAGNETIC FIELD; MAGNETOSPHERE; SPACE</t>
  </si>
  <si>
    <t>Variations in the 30 MHz cosmic radio noise signal, and in the Y, X, Z fluxgate magnetometer traces recorded at the Indian Antarctic station MAITRI (geom. 62degrees.8 S, 52degrees.8 E, L = 4.8) are compared for the zero solar wind day of 11 May 1999 (SigmaKp - 2(o)), the very Quiet day 22 Dec 1999 (SigmaKp = 1(o)), and the very Disturbed day 18 May 1999 (SigmaKp = 31(o)). Interplanetary magnetic field and solar wind parameters from the WIND satellite for these days are also examined, in order to understand what factors cause Maitri to change from a location influenced by Sq currents, to one influenced by Auroral electrojet currents. It is observed that it is not only negative Bz and high solar wind velocity which play a role in causing pronounced magnetic disturbance at this just-sub-auroral location but also high ion density and high ion dynamic pressure in the solar wind. The observations reflect on the changes which occur in the size of the geomagnetosphere and in the size of the auroral oval as a consequences of changes in the Interplanetary medium. (C) 2001 COSPAR. Published by Elsevier Science Ltd. All rights reserved.</t>
  </si>
  <si>
    <t>Indian Inst Geomagnetism, Colaba 400005, Mumbai, India; Agra Coll, Fac Sci, Dept Phys, Agra 282002, Uttar Pradesh, India</t>
  </si>
  <si>
    <t>Department of Science &amp; Technology (India); Indian Institute of Geomagnetism (IIG); Agra College</t>
  </si>
  <si>
    <t>Rajaram, G (corresponding author), Indian Inst Geomagnetism, Colaba 400005, Mumbai, India.</t>
  </si>
  <si>
    <t>SARA BURGERHARTSTRAAT 25, PO BOX 211, 1000 AE AMSTERDAM, NETHERLANDS</t>
  </si>
  <si>
    <t>0273-1177</t>
  </si>
  <si>
    <t>ADV SPACE RES-SERIES</t>
  </si>
  <si>
    <t>10.1016/S0273-1177(01)00495-1</t>
  </si>
  <si>
    <t>Engineering, Aerospace; Astronomy &amp; Astrophysics; Geosciences, Multidisciplinary; Meteorology &amp; Atmospheric Sciences</t>
  </si>
  <si>
    <t>Engineering; Astronomy &amp; Astrophysics; Geology; Meteorology &amp; Atmospheric Sciences</t>
  </si>
  <si>
    <t>BT60P</t>
  </si>
  <si>
    <t>WOS:000173496800013</t>
  </si>
  <si>
    <t>Rodhouse, PG; Elvidge, CD; Trathan, PN</t>
  </si>
  <si>
    <t>Southward, AJ; Tyler, PA; Young, CM; Fuiman, LA</t>
  </si>
  <si>
    <t>Remote sensing of the global light-fishing fleet: An analysis of interactions with oceanography, other fisheries and predators</t>
  </si>
  <si>
    <t>ADVANCES IN MARINE BIOLOGY, VOL 39</t>
  </si>
  <si>
    <t>Advances in Marine Biology</t>
  </si>
  <si>
    <t>SQUID MARTIALIA-HYADESI; ANTARCTIC POLAR FRONT; ILLEX-ARGENTINUS CEPHALOPODA; POPULATION-STRUCTURE; NEKTON COMMUNITY; EUDYPTULA-MINOR; NORTH PACIFIC; SCOTIA SEA; PREY; OMMASTREPHIDAE</t>
  </si>
  <si>
    <t>British Antarctic Survey, NERC, Cambridge CB3 0ET, England; NOAA, Off Director, Natl Geophys Data Ctr, Boulder, CO 80303 USA</t>
  </si>
  <si>
    <t>UK Research &amp; Innovation (UKRI); Natural Environment Research Council (NERC); NERC British Antarctic Survey; National Oceanic Atmospheric Admin (NOAA) - USA</t>
  </si>
  <si>
    <t>Rodhouse, PG (corresponding author), British Antarctic Survey, NERC, High Cross,Madingley Rd, Cambridge CB3 0ET, England.</t>
  </si>
  <si>
    <t>pgkr@bas.ac.uk; cde@ngdc.noaa.gov; p.trathan@bas.ac.uk</t>
  </si>
  <si>
    <t>Elvidge, Christopher D./C-3012-2009</t>
  </si>
  <si>
    <t>Rodhouse, Paul/0000-0001-5399-967X</t>
  </si>
  <si>
    <t>ELSEVIER ACADEMIC PRESS INC</t>
  </si>
  <si>
    <t>525 B STREET, SUITE 1900, SAN DIEGO, CA 92101-4495 USA</t>
  </si>
  <si>
    <t>0065-2881</t>
  </si>
  <si>
    <t>0-12-026139-1</t>
  </si>
  <si>
    <t>ADV MAR BIOL</t>
  </si>
  <si>
    <t>Adv. Mar. Biol.</t>
  </si>
  <si>
    <t>10.1016/S0065-2881(01)39010-7</t>
  </si>
  <si>
    <t>BR16A</t>
  </si>
  <si>
    <t>WOS:000165768100003</t>
  </si>
  <si>
    <t>Pedersen, L; Apostolopoulos, D; Whittaker, R</t>
  </si>
  <si>
    <t>Leen, TK; Dietterich, TG; Tresp, V</t>
  </si>
  <si>
    <t>Bayes networks on ice: Robotic search for Antarctic meteorites</t>
  </si>
  <si>
    <t>ADVANCES IN NEURAL INFORMATION PROCESSING SYSTEMS 13</t>
  </si>
  <si>
    <t>ADVANCES IN NEURAL INFORMATION PROCESSING SYSTEMS</t>
  </si>
  <si>
    <t>14th Annual Neural Information Processing Systems Conference (NIPS)</t>
  </si>
  <si>
    <t>NOV 27-DEC 02, 2000</t>
  </si>
  <si>
    <t>DENVER, CO</t>
  </si>
  <si>
    <t>A Bayes network based classifier for distinguishing terrestrial rocks from meteorites is implemented onboard the Nomad robot. Equipped with a camera, spectrometer and eddy current sensor, this robot searched the ice sheets of Antarctica and autonomously made the first robotic identification of a meteorite, in January 2000 at the Elephant Moraine. This paper discusses rock classification from a robotic platform, and describes the system onboard Nomad.</t>
  </si>
  <si>
    <t>Pedersen, L (corresponding author), Carnegie Mellon Univ, Inst Robot, Pittsburgh, PA 15213 USA.</t>
  </si>
  <si>
    <t>M I T PRESS</t>
  </si>
  <si>
    <t>FIVE CAMBRIDGE CENTER, CAMBRIDGE, MA 02142 USA</t>
  </si>
  <si>
    <t>1049-5258</t>
  </si>
  <si>
    <t>0-262-12241-3</t>
  </si>
  <si>
    <t>ADV NEUR IN</t>
  </si>
  <si>
    <t>Computer Science, Artificial Intelligence; Neurosciences</t>
  </si>
  <si>
    <t>Computer Science; Neurosciences &amp; Neurology</t>
  </si>
  <si>
    <t>BT08J</t>
  </si>
  <si>
    <t>WOS:000171891800139</t>
  </si>
  <si>
    <t>Wan, W; Liu, L; Parkinson, ML; Liu, R; He, L; Breed, AM; Dyson, PL; Morris, RJ</t>
  </si>
  <si>
    <t>Clemesha, B</t>
  </si>
  <si>
    <t>The effect of fluctuating ionospheric electric fields on Es-occurrence at cusp and polar cap latitudes</t>
  </si>
  <si>
    <t>ADVANCES IN REMOTE SENSING OF THE MIDDLE AND UPPER ATMOSPHERE AND THE IONOSPHERE</t>
  </si>
  <si>
    <t>C2 7 Symposium COSPAR Scientific Commission C held at the 33rd COSPAR Scientific Assembly</t>
  </si>
  <si>
    <t>THIN IONIZATION LAYERS; SPORADIC-E; DIRECTION</t>
  </si>
  <si>
    <t>Theory predicts that in the high-latitude southern hemisphere, southwest (SW) electric fields will produce convergent ion flow and thereby create thin sporadic E (Es)-layers at node heights &gt; 120 km, whilst northwest (NW) fields will produce downward ion flow and create thicker Es-layers at heights &lt; 110 km. To investigate this theory, Digisonde ionograms (giving the Es-occurrence) and drift measurements (giving electric field estimates) at two Antarctic stations were statistically analyzed. As previously found for the polar cap station Casey (81 degreesS magnetic), more of the Es-traces were associated with SW fields than NW fields. However, new results for the cusp station Zhongshan (73 degreesS) show that fewer Es-layers occur there, and NW fields play a slightly more important role than SW fields, similar to the results found at auroral latitudes in the northern hemisphere. To further our understanding of the occurrence distributions, we study the fluctuating properties of the electric fields at the two stations. It is found that the electric fields at Zhongshan fluctuate more than those at Casey. Thus we suggest that the field fluctuation is also an important consideration helping to explain the differences in the Es-occurrence at the two stations. This suggestion is confirmed by our numerical simulations which show that Es-layers are more effectively formed by steady SW fields than by steady NW fields, and less effectively by fluctuating SW fields than by fluctuating NW fields. (C) 2001 COSPAR. Published by Elsevier Science Ltd. All rights reserved.</t>
  </si>
  <si>
    <t>Wuhan Inst Phys &amp; Math, Wuhan Ionospher Observ, Wuhan, Peoples R China; La Trobe Univ, Dept Phys, Bundoora, Vic 3083, Australia; Polar Res Inst China, Shanghai, Peoples R China; Australian Antarctic Div, Kingston, Tas 7050, Australia</t>
  </si>
  <si>
    <t>Chinese Academy of Sciences; Innovation Academy for Precision Measurement Science &amp; Technology, CAS; La Trobe University; Polar Research Institute of China; Australian Antarctic Division</t>
  </si>
  <si>
    <t>Wuhan Inst Phys &amp; Math, Wuhan Ionospher Observ, Wuhan, Peoples R China.</t>
  </si>
  <si>
    <t>Liu, Libo/A-2370-2012</t>
  </si>
  <si>
    <t>Liu, Libo/0000-0001-5773-0184</t>
  </si>
  <si>
    <t>6/7</t>
  </si>
  <si>
    <t>10.1016/S0273-1177(01)00204-6</t>
  </si>
  <si>
    <t>BT01P</t>
  </si>
  <si>
    <t>WOS:000171630300035</t>
  </si>
  <si>
    <t>Carrasco, ELU; Romo, CR</t>
  </si>
  <si>
    <t>Influence of water activity and drying temperature on stability during the storage of caroteneproteins recovered from the krill antarctic residues (Euphausia superba)</t>
  </si>
  <si>
    <t>AFINIDAD</t>
  </si>
  <si>
    <t>krill antarctic, astaxanthin; unsaturated fatty acids; antioxidants; water activity; first-order kinetic</t>
  </si>
  <si>
    <t>FATTY-ACID COMPOSITION; BETA-CAROTENE; DEHYDRATED FOODS; MODEL SYSTEMS; LOW-MOISTURE; FISH; OIL; DECOLORIZATION; ISOTHERMS; MUSCLE</t>
  </si>
  <si>
    <t>Carotene proteins recovered from the mechanical peeling of the antarctic krill (E. superba), were estabilized with antioxidants (ethoxiquin, citric acid). Stored at 35 degreesC, it was evaluated the influence of water (a(w))(0.44, 0.53 and 0.75) on the pigments degradation (astaxantine). With a, of 0.75 pigments were better stabilized (p&lt;0.05). It was also evaluated the effect of vacuum drying (-1,0 x 10(5) Pa) at temperatures of 50, 55 degrees and 60 degreesC, on the degradation of pigments and unsaturated fatty acids. A drying temperature of 50 degreesC was optimum for the stabilization of carotene proteins during the storage.</t>
  </si>
  <si>
    <t>Univ La Frontera, Dept Ingn Quim, Temuco, Chile; Univ Santiago, Ctr Estudios Ciencia &amp; Tecnol Alimentos, Santiago, Chile</t>
  </si>
  <si>
    <t>Universidad de La Frontera; Universidad de Santiago de Chile</t>
  </si>
  <si>
    <t>Carrasco, ELU (corresponding author), Univ La Frontera, Dept Ingn Quim, Casilla 54-D, Temuco, Chile.</t>
  </si>
  <si>
    <t>euquiche@ufro.cl; cromo@lauca.usach.cl</t>
  </si>
  <si>
    <t>ASOC QUIMICOS</t>
  </si>
  <si>
    <t>INST QUIMICO SARRIA, VIA AUGUSTA, 390, 08017 BARCELONA, SPAIN</t>
  </si>
  <si>
    <t>0001-9704</t>
  </si>
  <si>
    <t>2339-9686</t>
  </si>
  <si>
    <t>Afinidad</t>
  </si>
  <si>
    <t>JAN-FEB</t>
  </si>
  <si>
    <t>424KD</t>
  </si>
  <si>
    <t>WOS:000168230700010</t>
  </si>
  <si>
    <t>Pinnock, M; Rodger, AS</t>
  </si>
  <si>
    <t>On determining the noon polar cap boundary from SuperDARN HF radar backscatter characteristics</t>
  </si>
  <si>
    <t>ANNALES GEOPHYSICAE-ATMOSPHERES HYDROSPHERES AND SPACE SCIENCES</t>
  </si>
  <si>
    <t>ionosphere; ionosphere-magnetosphere interactions; plasma convection; magnetospheric physics; magnetopause, cusp, and boundary layers</t>
  </si>
  <si>
    <t>IONOSPHERIC CUSP; LAYER CAMPAIGN; MAGNETOSPHERE; CONVECTION; FIELD; DMSP</t>
  </si>
  <si>
    <t>Previous work has shown that ionospheric HF radar backscatter in the noon sector can be used to locate the footprint of the magnetospheric cusp particle precipitation. This has enabled the radar data to be used as a proxy for the location of the polar cap boundary, and hence measure the flow of plasma across it to derive the reconnection electric field in the ionosphere. This work used only single radar data sets with a field of view limited to similar to 2 h of local time. In this case study using four of the SuperDARN radars, we examine the boundary determined over 6 h of magnetic local time around the noon sector and its relationship to the convection pattern. The variation with longitude of the latitude of the radar scatter with cusp characteristics shows a bay-like feature. It is shown that this feature is shaped by the variation with longitude of the poleward flow component of the ionospheric plasma and may be understood in terms of cusp ion time-of-flight effects. Using this interpretation, we derive the time-of-flight of the cusp ions and find that it is consistent with approximately 1 keV ions injected from a subsolar reconnection site. A method for deriving a more accurate estimate of the location of the open-closed field line boundary from HF radar data is described.</t>
  </si>
  <si>
    <t>Pinnock, M (corresponding author), British Antarctic Survey, Madingley Rd, Cambridge CB3 0ET, England.</t>
  </si>
  <si>
    <t>ANN GEOPHYS-ATM HYDR</t>
  </si>
  <si>
    <t>Ann. Geophys.-Atmos. Hydrospheres Space Sci.</t>
  </si>
  <si>
    <t>10.1007/s00585-001-1523-2</t>
  </si>
  <si>
    <t>399QH</t>
  </si>
  <si>
    <t>Green Submitted, gold, Green Accepted</t>
  </si>
  <si>
    <t>WOS:000166823500002</t>
  </si>
  <si>
    <t>Bintanja, R; Lilienthal, H; Tüg, H</t>
  </si>
  <si>
    <t>Hutter, K</t>
  </si>
  <si>
    <t>Observations of snowdrift over Antarctic snow and blue-ice surfaces</t>
  </si>
  <si>
    <t>ANNALS OF GLACIOLOGY, VOL 32, 2001</t>
  </si>
  <si>
    <t>Annals of Glaciology-Series</t>
  </si>
  <si>
    <t>International Symposium on Snow, Avalanches and Impact of the Forest Cover</t>
  </si>
  <si>
    <t>MAY 22-26, 2000</t>
  </si>
  <si>
    <t>MASS-BALANCE; BLOWING SNOW; SALTATION; PROFILES; HALLEY</t>
  </si>
  <si>
    <t>Vertical profiles of snowdrift density and concurrent meteorological data were measured over Antarctic snow and blue ice during a 1 month field experiment in austral summer 1997/98. It is found that drift densities and transport rates over blue ice are significantly smaller than over snow, which can be attributed mainly to the limited availability of snow particles at the blue-ice surface. Hence, over blue ice, near-surface drift densities and vertical gradients in drift density are relatively small. Over blue ice, snowdrift can occur in very weak winds, presumably because of the smoothness of the surface. Over snow, in contrast, drift occurs only in much stronger winds, such that the shear stress applied by the flow can overcome the cohesive interparticle bonds.</t>
  </si>
  <si>
    <t>Univ Utrecht, Inst Marine &amp; Atmospher Res, NL-3508 TA Utrecht, Netherlands; Alfred Wegener Inst Polar &amp; Marine Res, D-27568 Bremerhaven, Germany</t>
  </si>
  <si>
    <t>Utrecht University; Helmholtz Association; Alfred Wegener Institute, Helmholtz Centre for Polar &amp; Marine Research</t>
  </si>
  <si>
    <t>Univ Utrecht, Inst Marine &amp; Atmospher Res, POB 80005, NL-3508 TA Utrecht, Netherlands.</t>
  </si>
  <si>
    <t>INT GLACIOLOGICAL SOC</t>
  </si>
  <si>
    <t>LENSFIELD RD, CAMBRIDGE CB2 1ER, ENGLAND</t>
  </si>
  <si>
    <t>0260-3055</t>
  </si>
  <si>
    <t>0-946417-27-X</t>
  </si>
  <si>
    <t>ANN GLACIOL-SER</t>
  </si>
  <si>
    <t>10.3189/172756401781819076</t>
  </si>
  <si>
    <t>BS86V</t>
  </si>
  <si>
    <t>WOS:000171277900029</t>
  </si>
  <si>
    <t>Golden, KM</t>
  </si>
  <si>
    <t>Jeffries, MO; Eicken, H</t>
  </si>
  <si>
    <t>Brine percolation and the transport properties of sea ice</t>
  </si>
  <si>
    <t>ANNALS OF GLACIOLOGY, VOL 33</t>
  </si>
  <si>
    <t>International-Glaciological-Society Symposium on Sea Ice and Its Interactions with the Ocean, Atmosphere and Biosphere</t>
  </si>
  <si>
    <t>JUN 19-23, 2000</t>
  </si>
  <si>
    <t>UNIV ALASKA FAIRBANKS, FAIRBANKS, AK</t>
  </si>
  <si>
    <t>UNIV ALASKA FAIRBANKS</t>
  </si>
  <si>
    <t>ELECTROMAGNETIC SCATTERING MODELS; COMPLEX DIELECTRIC-CONSTANT; MULTICOMPONENT COMPOSITES; ELECTRICAL-CONDUCTIVITY; EXPONENT INEQUALITIES; ANALYTIC CONTINUATION; MICROWAVE-FREQUENCIES; EFFECTIVE PARAMETERS; CRITICAL-BEHAVIOR; PARTICLE-SIZE</t>
  </si>
  <si>
    <t>Sea ice is distinguished from many other porous composites, such as sandstones or bone, in that its microstructure and bulk material properties can vary dramatically over a small temperature range. For brine-volume fractions below a critical value of about 5%, which corresponds to a critical temperature of about -5degreesC for salinity of 5 ppt. columnar sea ice is effectively impermeable to fluid transport. For higher brine volumes, the brine phase becomes connected and the sea ice is permeable, allowing transport of brine, sea water. nutrients, biomass and heat through the ice. Over the past several years it has been found that brine transport is fundamental to such processes as sea-ice production through freezing of flooded ice surfaces, the enhancement of thermal and salt fluxes through sea ice, nutrient replenishment for sea-ice algal communities, and to sea-ice remote sensing. Motivated by these observations, recently we have shown how percolation theory can be used to understand the critical behavior of fluid transport in sea ice. We applied a percolation model developed for compressed powders of large polymer particles with much smaller metal particles, which explains the observed behavior of the fluid permeability in the critical temperature regime, as well as Antarctic data on surface flooding and algal growth rates. Moreover, the connectedness properties of the brine phase play a significant role in the microwave signature of sea ice through its effective complex permittivity and surface flooding. Here we review our recent results oil brine percolation and its role in understanding the fluid and electromagnetic transport properties of sea ice. We also briefly report oil measurements of percolation we made on first-year sea ice during the winter 1999 Mertz Glacier Polynya Experiment.</t>
  </si>
  <si>
    <t>Univ Utah, Dept Math, Salt Lake City, UT 84112 USA</t>
  </si>
  <si>
    <t>Utah System of Higher Education; University of Utah</t>
  </si>
  <si>
    <t>Univ Utah, Dept Math, Salt Lake City, UT 84112 USA.</t>
  </si>
  <si>
    <t>0-946417-28-8</t>
  </si>
  <si>
    <t>10.3189/172756401781818329</t>
  </si>
  <si>
    <t>BT59X</t>
  </si>
  <si>
    <t>WOS:000173446300005</t>
  </si>
  <si>
    <t>Maksym, T; Jeffries, MO</t>
  </si>
  <si>
    <t>Phase and compositional evolution of the flooded layer during snow-ice formation on Antarctic sea ice</t>
  </si>
  <si>
    <t>WEDDELL-SEA; CONTINUUM MODEL; CONVECTION; SOLIDIFICATION; TRANSPORT; HEAT</t>
  </si>
  <si>
    <t>A two-dimensional convective transport model has been been developed to investigate the phase and compositional evolution of a flooded slush layer overlying sea ice. The processes governing the solutal and compositional evolution of the flooded layer are investigated in an attempt to explain field observations of salinity and oxygen isotope ratios. Simulations indicate fairly vigorous convective transport in the slush layer, which may lead to the formation of porous channels, depending on permeability. It is found that the salinity and delta(18)O composition of the freezing slush layer is determined primarily by the sea-ice permeability. Simulated salinity and delta(18)O profiles produce varied results, though consistent with observations. The influence of the slush on the salinity l and delta(18)O composition of the underlying ice was found to be minimal.</t>
  </si>
  <si>
    <t>Univ Alaska, Inst Geophys, Fairbanks, AK 99775 USA</t>
  </si>
  <si>
    <t>University of Alaska System; University of Alaska Fairbanks</t>
  </si>
  <si>
    <t>Univ Alaska, Inst Geophys, 903 Koyukuk Dr,POB 757320, Fairbanks, AK 99775 USA.</t>
  </si>
  <si>
    <t>10.3189/172756401781818860</t>
  </si>
  <si>
    <t>WOS:000173446300006</t>
  </si>
  <si>
    <t>Lytle, VI; Ackley, SF</t>
  </si>
  <si>
    <t>Snow-ice growth: a fresh-water flux inhibiting deep convection in the Weddell Sea, Antarctica</t>
  </si>
  <si>
    <t>HEAT-FLUX; OCEAN</t>
  </si>
  <si>
    <t>During a field experiment in July 1991, while the R.V. Nathaniel B. Palmer was moored to a drifting ice floe in the Weddell Sea, Antarctica, data were collected on sea-ice and snow characteristics. We report on the evolution of ice which grew in a newly opened lead. As expected with cold atmospheric conditions, congelation ice initially formed in the lead. Subsequent snow accumulation and large ocean heat fluxes resulted in melt at the base of the ice, and enhanced flooding of the snow on the ice surface. This flooded snow subsequently froze, and, 5 days after the lead opened, all the congelation ice had melted and 26 cm of snow ice had formed. We use measured sea-ice and snow salinities, thickness and oxygen isotope values of the newly formed lead ice to calculate the salt flux to the ocean. Although there was a salt flux to the ocean as the ice initially grew, we calculate a small net fresh-water input to the upper ocean by the end of the 5 day period. Similar processes of basal melt and surface snow-ice formation also occurred on the surrounding, thicker sea ice. Oceanographic studies in this region of the Weddell Sea have shown that salt rejection by sea-ice formation may enhance the ocean vertical thermohaline circulation and release heat from the deeper ocean to melt the ice cover. This type of deep convection is thought to initiate the Weddell polynya, which was observed only during the 1970s. Our results, which show that an ice cover can form with no salt input to the Ocean, provide a mechanism which may help explain the more recent absence of the Weddell polynya.</t>
  </si>
  <si>
    <t>Antarctic CRC, Hobart, Tas 7001, Australia; Clarkson Univ, Dept Civil &amp; Environm Engn, Potsdam, NY 13699 USA; Australian Antarctic Div, Hobart, Tas 7001, Australia</t>
  </si>
  <si>
    <t>Clarkson University; Australian Antarctic Division</t>
  </si>
  <si>
    <t>Antarctic CRC, Box 252-80, Hobart, Tas 7001, Australia.</t>
  </si>
  <si>
    <t>10.3189/172756401781818752</t>
  </si>
  <si>
    <t>WOS:000173446300007</t>
  </si>
  <si>
    <t>Jeffries, MO; Krouse, HR; Hurst-Cushing, B; Maksym, T</t>
  </si>
  <si>
    <t>Snow-ice accretion and snow-cover depletion on Antarctic first-year sea-ice floes</t>
  </si>
  <si>
    <t>WEDDELL-SEA; THICKNESS DISTRIBUTION; AMUNDSEN SEAS; LATE WINTER; PACK-ICE; VARIABILITY; BELLINGSHAUSEN; ROSS; BACKSCATTER; BALANCE</t>
  </si>
  <si>
    <t>Between austral late winter 1993 and austral autumn 1998, during five cruises aboard the research vessel Nathaniel B. Palmer, almost 300 m of core was obtained from first-year ice floes in the Ross, Amundsen and Bellingshausen Seas. Analysis of the texture, stratigraphy and stable-isotopic composition of the ice was used to assess the magnitude of the role of flooding and snow-ice formation at the base of the snowpack in the thickening of the ice cover and the thinning of the snow cover. Snow ice occurred in all ice-thickness categories and made a significant contribution to the total ice mass (12-36%) in both autumn and winter. Although the amount of snow ice was often exceeded by the amount of frazil ice and congelation ice, the thickness of individual layers of each ice type indicated that snow ice often made a greater contribution to the thermodynamic thickening of the ice cover than the other ice types. The larger quantities of frazil ice and congelation ice were primarily the result of dynamic thickening. Flooding and snow-ice formation reduced the snow cover to 42-70% of the total snow accumulation depending on time and location. On the basis of this information, ship-based snow-depth estimates were adjusted to estimate the total snow accumulation oil different ice-thickness categories.</t>
  </si>
  <si>
    <t>Univ Alaska, Inst Geophys, Fairbanks, AK 99775 USA; Univ Calgary, Dept Phys &amp; Astron, Calgary, AB T2N 1N4, Canada</t>
  </si>
  <si>
    <t>University of Alaska System; University of Alaska Fairbanks; University of Calgary</t>
  </si>
  <si>
    <t>Univ Alaska, Inst Geophys, Fairbanks, AK 99775 USA.</t>
  </si>
  <si>
    <t>10.3189/172756401781818266</t>
  </si>
  <si>
    <t>WOS:000173446300008</t>
  </si>
  <si>
    <t>Haas, C</t>
  </si>
  <si>
    <t>The seasonal cycle of ERS scatterometer signatures over perennial Antarctic sea ice and associated surface ice properties and processes</t>
  </si>
  <si>
    <t>ANNALS OF GLACIOLOGY</t>
  </si>
  <si>
    <t>UNIV ALASKA FAIRBANKS, FAIRBANKS, ALASKA</t>
  </si>
  <si>
    <t>WEDDELL-SEA; BELLINGSHAUSEN; VARIABILITY; IMAGERY; MELT; SNOW</t>
  </si>
  <si>
    <t>Time series of satellite radar backscatter coefficients of the European Remote-sensing Satellite (ERS-1/-2) scatterometer are presented for perennial sea-ice regions in the Antarctic from June 1991 to June 1999. There is a pronounced seasonal cycle, with higher backscatter in summer than in winter. On average, back-scatter increases from spring values of -16.3 dB to summer values of -10.7 dB within 96 days. This rapid rise and the summer maximum are occasionally interrupted by sudden strong signal drops. After late summer/early autumn, backscatter decreases again and slowly approaches winter values. The seasonal cycle is interpreted in terms of processes at the ice surface. The spring backscatter rise is associated with internal snowmelt and the formation of superimposed ice. This process commences once the surface energy balance becomes positive. Sudden backscatter drops are caused by temporary meltwater saturation of the snow during episodic events of warm-air advection. In the autumn, when superimposed-ice formation ceases due to surface cooling gradual surface flooding with sea water becomes the dominant process, causing the observed decreasing backscatter. The reoccurrence of the seasonal backscatter cycle in most regions points to the widespread formation of superimposed ice on perennial Antarctic sea ice.</t>
  </si>
  <si>
    <t>Haas, C (corresponding author), Alfred Wegener Inst Polar &amp; Marine Res, Columbusstr, D-27568 Bremerhaven, Germany.</t>
  </si>
  <si>
    <t>Haas, Christian/L-5279-2016</t>
  </si>
  <si>
    <t>Haas, Christian/0000-0002-7674-3500</t>
  </si>
  <si>
    <t>ANN GLACIOL</t>
  </si>
  <si>
    <t>10.3189/172756401781818301</t>
  </si>
  <si>
    <t>WOS:000173446300010</t>
  </si>
  <si>
    <t>Paget, MJ; Worby, AP; Michael, KJ</t>
  </si>
  <si>
    <t>Determining the floe-size distribution of East Antarctic sea ice from digital aerial photographs</t>
  </si>
  <si>
    <t>IMAGES</t>
  </si>
  <si>
    <t>Floe size within the Antarctic pack ice is all important parameter that affects both the ocean-ice atmosphere energy exchange and the mechanical properties of pack ice. In this paper we present a computer-based algorithm to extract floe-size distribution information front digital aerial photographs of Antarctic sea ice. The algorithm segments digital images of sea ice into distinct floes from which the size of each floe is calculated and floe-size distributions are derived. Through a recursive application of the morphological erosion operator, each floe is eroded towards its centre while each pixel's erosion number is recorded. This ensures no information is lost while individual floes are identified. The algorithm combines image-processing techniques with some manual input to accurately identify the boundaries of individual floes within an image. To demonstrate the functionality of the algorithm. six images, representing regions along a 22 km south-to-north transect through a transitional zone of pack ice near 65degrees S, 1-140degrees E, have been processed. Regional variations in the floe-size distributions show an increase in the number of smaller floes relative to larger floes and a decrease in the dominant floe size (in terms of area coverage) from south to north. These results are consistent with ship-based observations.</t>
  </si>
  <si>
    <t>Univ Tasmania, Antarctic CRC, Hobart, Tas 7001, Australia; Univ Tasmania, IASOS, Hobart, Tas 7001, Australia; Australian Antarctic Div, Kingston, Tas 7050, Australia</t>
  </si>
  <si>
    <t>Paget, MJ (corresponding author), Univ Tasmania, Antarctic CRC, Box 252-80, Hobart, Tas 7001, Australia.</t>
  </si>
  <si>
    <t>Worby, Anthony P/A-2373-2012; Paget, Matt/E-7839-2017; Michael, Kelvin/J-7217-2014</t>
  </si>
  <si>
    <t>Michael, Kelvin/0000-0002-5427-7393</t>
  </si>
  <si>
    <t>10.3189/172756401781818473</t>
  </si>
  <si>
    <t>WOS:000173446300014</t>
  </si>
  <si>
    <t>Meier, WN; Van Woert, ML; Bertoia, C</t>
  </si>
  <si>
    <t>Evaluation of operational SSM/I ice-concentration algorithms</t>
  </si>
  <si>
    <t>SEA-ICE; PARAMETERS; REDUCTION; IMAGERY; COVER; SMMR</t>
  </si>
  <si>
    <t>The United States National Ice Center (NIC) provides weekly ice analyses of the Arctic and Antarctic using information from ice reconnaissance, ship reports and high-resolution satellite imagery. In cloud-covered areas and regions lacking imagery, the higher-resolution sources are augmented by ice concentrations derived from Defense Meteorological Satellite Program (DMSP) Special Sensor Microwave/Imager (SSM/I) passive-microwave imagery. However, the SSM/I-derived ice concentrations are limited by low resolution and uncertainties in thin-ice regions. Ongoing research at NIC is attempting to improve the utility of these SSM/I products for operational sea-ice analyses. The refinements of operational algorithms may also aid future scientific studies. Here we discuss an evaluation of the standard operational ice-concentration algorithm, Cal/Val, with a possible alternative, a modified NASA Team algorithm. The modified algorithm compares favorably with Cal/Val and is a substantial improvement over the standard NASA Team algorithm in thin-ice regions that are of particular interest to operational activities.</t>
  </si>
  <si>
    <t>US Natl Ice Ctr, Washington, DC 20395 USA; NOAA, NESDIS, Off Res &amp; Applicat, Camp Springs, MD 20746 USA</t>
  </si>
  <si>
    <t>National Oceanic Atmospheric Admin (NOAA) - USA</t>
  </si>
  <si>
    <t>Meier, WN (corresponding author), US Natl Ice Ctr, FOB 4,Room 2301,4251 Suitland Rd, Washington, DC 20395 USA.</t>
  </si>
  <si>
    <t>Meier, Walter/AAI-9583-2021</t>
  </si>
  <si>
    <t>Meier, Walter/0000-0003-2857-0550</t>
  </si>
  <si>
    <t>10.3189/172756401781818509</t>
  </si>
  <si>
    <t>WOS:000173446300015</t>
  </si>
  <si>
    <t>Kern, S; Heygster, G</t>
  </si>
  <si>
    <t>Sea-ice concentration retrieval in the Antarctic based on the SSM/I 85.5 GHz polarization</t>
  </si>
  <si>
    <t>WEDDELL SEA; WINTER; MODEL</t>
  </si>
  <si>
    <t>Using data from the 85 GHz channels of the Special Sensor Microwave/ Imager (SSM/I) allows a resolution improvement by at least a factor of four compared to the other channels. Consequently, higher-resolution sea-ice concentration data can be obtained which in turn can be used to improve the results of numerical weather-prediction (NWP) and global circulation models. The proposed new sea-ice concentration retrieval algorithm (SEA LION algorithm) uses the polarization at 85 GHz (P). Emission from atmospheric water and scattering at the wind-roughened sea surface (weather effect) decrease P and cause an overestimation of the sea-ice concentration. We quantify the weather effect with a radiative transfer model and atmospheric data obtained from NWP models and the other SSM/I channels, and correct P for this effect. Tie points of open water and sea ice are determined for each month separately from daily gridded 85 GHz SSM/I brightness temperatures. Sea-ice concentrations are calculated with the new algorithm for the entire Southern Ocean for each day of the period 1992-98 with a spatial resolution of 12.5 x 12.5 km(2). Comparisons of these ice concentrations with Operational Linescan System visible images reveal convincing results concerning the monitoring of coastal polynyas and the break-up of the pack ice in spring. SEA LION sea-ice extents and areas, and comparisons between SEA LION sea-ice concentrations and ship observations, agree with those obtained by the NASA Team and the Bootstrap algorithms.</t>
  </si>
  <si>
    <t>Inst Environm Phys, D-28334 Bremen, Germany</t>
  </si>
  <si>
    <t>Kern, S (corresponding author), Inst Oceanog, Troplowitzstr 7, D-22529 Hamburg, Germany.</t>
  </si>
  <si>
    <t>Kern, Stefan/0000-0001-7281-3746; Heygster, Georg/0000-0003-2232-7429</t>
  </si>
  <si>
    <t>10.3189/172756401781818905</t>
  </si>
  <si>
    <t>WOS:000173446300016</t>
  </si>
  <si>
    <t>Heil, P; Fowler, CW; Maslanik, JA; Emery, WJ; Allison, I</t>
  </si>
  <si>
    <t>A comparison of East Antarctic sea-ice motion derived using drifting buoys and remote sensing</t>
  </si>
  <si>
    <t>SATELLITE; IMAGERY</t>
  </si>
  <si>
    <t>Results of East Antarctic (20-160degrees E) sea-ice motion derived from drifting buoys (collected in eight selected years between 1985 and 1997) are compared with sea-ice motion derived from sequential images from the 37 and 85.5 GHz channels of the Scanning Multichannel Microwave Radiometer (SMMR, 1979-87) and the Special Sensor Microwave/Imager (SSM/I, 1987-97). For the latitudes of interest, buoys yield velocity fields at 2 hourly resolution, while SMMR and SSM/I provide daily data. The spatial coverage of the drifting buoys is relatively sparse compared to the complete coverage of the southern sea-ice zone by SMMR and SSM/I, but the accuracy of the buoy position is better than +/-280 m, while the resolution for the 85.5 GHz channel is only about 12.5 km, and about 25 kin for the 37 GHz channel. The buoy measurements represent point motion, equal to the velocity of an individual ice floe, while the satellite data derived via the maximum cross-correlation method represent the motion of surface patterns within a gridcell. Comparison of the mean distributions of daily velocity derived from the datasets shows that while the broad-scale velocity patterns agree, the magnitude of the satellite-derived sea-ice velocities is significantly lower (typically by 40% or less) than the velocities derived from buoy measurements. This is in contrast with previous studies for the Arctic Ocean and the Weddell Sea, Antarctica. To elucidate differences in the velocity magnitude, individual trajectories from a number of drift regimes off East Antarctica are directly compared. Discrepancies between the two datasets are discussed with regard to the difference in spatial resolution of the data, the data-collection and -processing methods and the observed region.</t>
  </si>
  <si>
    <t>Univ Tasmania, Antarctic CRC, Hobart, Tas 7001, Australia; Univ Colorado, Dept Aerosp Engn Sci, Colorado Ctr Astrodynam Res, Boulder, CO 80309 USA; Australian Antarctic Div, Kingston, Tas 7050, Australia</t>
  </si>
  <si>
    <t>University of Tasmania; University of Colorado System; University of Colorado Boulder; Australian Antarctic Division</t>
  </si>
  <si>
    <t>Heil, P (corresponding author), Univ Alaska Fairbanks, IARC Frontier, Fairbanks, AK 99775 USA.</t>
  </si>
  <si>
    <t>Allison, Ian F/I-4477-2015; Emery, William/L-6179-2017</t>
  </si>
  <si>
    <t>Allison, Ian F/0000-0001-9599-0251; Emery, William/0000-0002-7598-9082; Heil, Petra/0000-0003-2078-0342</t>
  </si>
  <si>
    <t>10.3189/172756401781818374</t>
  </si>
  <si>
    <t>WOS:000173446300021</t>
  </si>
  <si>
    <t>Worby, AP; Bush, GM; Allison, I</t>
  </si>
  <si>
    <t>Seasonal development of the sea-ice thickness distribution in East Antarctica: measurements from upward-looking sonar</t>
  </si>
  <si>
    <t>AMUNDSEN SEAS; WINTER; BELLINGSHAUSEN; OCEAN; COVER</t>
  </si>
  <si>
    <t>Upward-looking sonar (ULS) data are presented from a prototype instrument deployed at 63degrees18'S, 107degrees49'E in 1994. These data show the seasonal evolution of the ice-draft distribution from May when predominantly thin ice is present, through October when substantially thicker ice has been formed by deformation. The mean ice draft reaches a maximum in August at 1.21 m, the same month in which ship-based observations from the same region show a peak in ice thickness. The observed distribution from ULS data is only for drafts &gt; 0.3 m due to data losses caused by the low acoustic reflectivity of actively forming ice. The spring distributions show very little development of drafts &gt; 3.0 m, and it is hypothesized that this is due to the cyclical nature of deformation in the East Antarctic pack-ice zone, and that periods of sustained pressure required to form very thick ice are uncommon in this region.</t>
  </si>
  <si>
    <t>Univ Tasmania, Antartic CRC, Hobart, Tas 7001, Australia; Univ Tasmania, Australian Antarctic Div, Hobart, Tas 7001, Australia; Curtin Univ Technol, Ctr Marine Sci &amp; Technol, Perth, WA 6001, Australia</t>
  </si>
  <si>
    <t>University of Tasmania; University of Tasmania; Australian Antarctic Division; Curtin University</t>
  </si>
  <si>
    <t>Univ Tasmania, Antartic CRC, Box 252-80, Hobart, Tas 7001, Australia.</t>
  </si>
  <si>
    <t>Allison, Ian F/I-4477-2015; Worby, Anthony P/A-2373-2012</t>
  </si>
  <si>
    <t>Allison, Ian F/0000-0001-9599-0251;</t>
  </si>
  <si>
    <t>10.3189/172756401781818167</t>
  </si>
  <si>
    <t>WOS:000173446300027</t>
  </si>
  <si>
    <t>Tin, T; Jeffries, MO</t>
  </si>
  <si>
    <t>Sea-ice thickness and roughness in the Ross Sea, Antarctica</t>
  </si>
  <si>
    <t>WEDDELL-SEA; DRAG COEFFICIENTS; SNOW COVER; PROFILES; BELLINGSHAUSEN; VARIABILITY; FREEBOARD; AMUNDSEN; WINTER</t>
  </si>
  <si>
    <t>Sea-ice thickness and roughness data collected on three cruises in the Ross Sea Antarctica, showed interseasonal, regional and interannual variability. Variability was reduced to season, or age of ice floc, when sea-ice roughness values from around Antarctica were compared. There were statistically significant correlations between mean snow elevation and mean ice thickness; snow surface roughness and mean ice thickness; and snow surface roughness and ice bottom roughness, which appeared to be independent of season, geographical location and deformation history of ice floes. Our field data indicate that ice thickness can be predicted from snow elevation measurements with higher accuracy in summer. The feasibility of using snow surface roughness to infer ice thickness and ice and can provide us with a means to study the thickness bottom roughness is promising and underside of Antarctic sea ice at good spatial and temporal resolution.</t>
  </si>
  <si>
    <t>Univ Alaska Fairbanks, Inst Geophys, Fairbanks, AK 99775 USA</t>
  </si>
  <si>
    <t>Tin, T (corresponding author), Univ Alaska Fairbanks, Inst Geophys, Fairbanks, AK 99775 USA.</t>
  </si>
  <si>
    <t>10.3189/172756401781818770</t>
  </si>
  <si>
    <t>WOS:000173446300029</t>
  </si>
  <si>
    <t>McGuinness, MJ; Landman, KA; Trodahl, HJ; Pantoja, AE</t>
  </si>
  <si>
    <t>Solar radiative heating in first-year sea ice</t>
  </si>
  <si>
    <t>VARIABILITY</t>
  </si>
  <si>
    <t>Temperature measurements taken in young, landfast Antarctic sea ice show daily oscillations consistent with heating by solar radiation. We present and solve a heat conduction model for the temperature with a non-linear thermal capacity and a distributed source term for solar power absorption based on Monte Carlo scattering simulations of penetrating photons. We observe two characteristic modes for solar heating in sea ice, one dominated by travelling thermal waves or conduction in the upper half, and the other dominated by in-place solar heating in the lower half. We note that deep thermal responses to solar radiation are larger by a factor of similar to10 than predicted by scattering measurements, due possibly to the presence of algae and/or dissolved organic material.</t>
  </si>
  <si>
    <t>Victoria Univ Wellington, Sch Math &amp; Comp Sci, Wellington, New Zealand; Univ Melbourne, Dept Math &amp; Stat, Melbourne, Vic, Australia; Victoria Univ Wellington, Sch Chem &amp; Phys Sci, Wellington, New Zealand</t>
  </si>
  <si>
    <t>Victoria University Wellington; University of Melbourne; Melbourne Bioinformatics; Victoria University Wellington</t>
  </si>
  <si>
    <t>Victoria Univ Wellington, Sch Math &amp; Comp Sci, POB 600, Wellington, New Zealand.</t>
  </si>
  <si>
    <t>McGuinness, Mark/0000-0003-1860-6177; Pantoja, Andres/0000-0002-0168-9095</t>
  </si>
  <si>
    <t>10.3189/172756401781818914</t>
  </si>
  <si>
    <t>WOS:000173446300041</t>
  </si>
  <si>
    <t>Wendler, G; Worby, AP</t>
  </si>
  <si>
    <t>The surface energy budget in the Antarctic summer sea-ice pack</t>
  </si>
  <si>
    <t>EXCHANGE; SNOW</t>
  </si>
  <si>
    <t>The surface radiation budget was continuously measured in the sea-ice zone between 140degreesE (Terre Adelie) and 180degrees (McMurdo Sound) close to mid-summer. When the sea ice is disintegrating. These measurements were carried out during a cruise of the USCGC Polar Sea from Hobart,Tasmania, to McMurdo station, Antarctica, in 1998/99. Some of the findings are: the solar radiation is the major atmospheric energy source for the melting of ice. The sun was above the horizon for 24 h for most of the cruise. Due to a high amount of fractional cloudiness, the global radiation was somewhat reduced when Compared to areas with lesser cloud cover. Mean noon values were around 400 W m(-2), while at midnight a value of 30 W m(-2) was measured. Daily mean values of the net short-wave radiation varied widely. a function of the reflectivity of the surface, which is strongly dependent not only on the ice concentration, but also on the ice type (e.g. whether it is covered with snow, flooded, melting or dry). Detailed ice observations were carried out. Hourly values of the albedo varied from 6% (open water) to 84% (10/10 sea ice with a dry, snow cover). The mean net longwave radiation was only modestly negative. The high amount of fractional cloud cover increased the long wave incoming radiation from the atmosphere. mean value of -40 W m(-2) was measured. which displayed only a very weak diurnal course. The sum of the short- and long-wave radiation, the total radiation budget negative values at night (for 6 h), and showed the expected diurnal variation, with slightly ne a mean maximum at solar noon of around 220 W m(-2). A mean daily value of 98 W m(-2) was calculated.</t>
  </si>
  <si>
    <t>Univ Alaska Fairbanks, Inst Geophys, Fairbanks, AK 99775 USA; Antarctic CRC, Hobart, Tas 7001, Australia; Australian Antarctic Div, Hobart, Tas 7001, Australia</t>
  </si>
  <si>
    <t>University of Alaska System; University of Alaska Fairbanks; Australian Antarctic Division</t>
  </si>
  <si>
    <t>Wendler, G (corresponding author), Univ Alaska Fairbanks, Inst Geophys, Fairbanks, AK 99775 USA.</t>
  </si>
  <si>
    <t>Worby, Anthony P/A-2373-2012</t>
  </si>
  <si>
    <t>10.3189/172756401781818220</t>
  </si>
  <si>
    <t>WOS:000173446300043</t>
  </si>
  <si>
    <t>Thomas, DN; Kattner, G; Engbrodt, R; Giannelli, V; Kennedy, H; Haas, C; Dieckmann, GS</t>
  </si>
  <si>
    <t>Dissolved organic matter in Antarctic sea ice</t>
  </si>
  <si>
    <t>WEDDELL-SEA; INORGANIC CARBON; STANDING STOCK; PLATELET ICE; SUMMER; BRINE; ALGAL; COMMUNITIES; SURFACE; WINTER</t>
  </si>
  <si>
    <t>it has been hypothesized that there are significant dissolved organic matter (DONI) pools in sea-ice systems, although measurements of DOM in sea ice have only rarely been made. The significance of DOM for ice-based productivity and carbon turnover therefore remains highly speculative. DOM within sea ice from the Amundsen and Bellingshausen Seas, Antarctica, in 1994 and the Weddell Sea, Antarctica, in 1992 and 1997 was investigated. Measurements were made on melted sea-ice sections in 1994 and 1997 and in sea-ice brines in 1992. Dissolved organic carbon (DOC) and dissolved organic nitrogen (DON) concentrations in melted ice cores were up to 1.8 and 0.78 mM, respectively, or 30 and 8 times higher than those in surface water concentrations, respectively. However, when concentrations within the brine channel/pore space were calculated from estimated brine volumes, actual concentrations of DOC in brines were up to 23.3 mM and DON up to 2.2 mM, although mean values were 1.8 and 0.15 mM, respectively. There were higher concentrations of DOM in warm, porous summer second-year sea ice compared with colder autumn first-year ice, consistent with the different biological activity supported within the various ice types. However, in general there was poor correlation between DOC and DON with algal biomass and numbers of bacteria within the ice. The mean DOC/DON ratio was 11, although again values were highly variable, ranging from 3 to highly carbon-enriched samples of 95. Measurements made on a limited dataset showed that carbohydrates constitute on average 35% of the DOC pool, with highly variable contributions of 1-99%.</t>
  </si>
  <si>
    <t>Univ Wales, Sch Ocean Sci, Menai Bridge LL59 5EY, Gwynedd, Wales; Alfred Wegener Inst Polar &amp; Marine Res, D-27570 Bremerhaven, Germany</t>
  </si>
  <si>
    <t>Thomas, DN (corresponding author), Univ Wales, Sch Ocean Sci, Menai Bridge LL59 5EY, Gwynedd, Wales.</t>
  </si>
  <si>
    <t>Kennedy, Hilary A/M-5574-2014; Dieckmann, Gerhard S/B-4307-2010; Haas, Christian/L-5279-2016; Thomas, David Neville/B-1448-2010</t>
  </si>
  <si>
    <t>Kennedy, Hilary A/0000-0003-2290-2120; Haas, Christian/0000-0002-7674-3500; Thomas, David Neville/0000-0001-8832-5907</t>
  </si>
  <si>
    <t>10.3189/172756401781818338</t>
  </si>
  <si>
    <t>WOS:000173446300046</t>
  </si>
  <si>
    <t>Fox, C; Haskell, TG</t>
  </si>
  <si>
    <t>Ocean wave speed in the Antarctic marginal ice zone</t>
  </si>
  <si>
    <t>The propagation of ocean waves in the marginal waves in the marginal ice zone (MIZ) is investigated with the aim of determining whether the loading and scattering of waves by ice floes is significant. Measurements made during instrumented ice floes in the MIZ north of the Ross Sea, Antarctica, during June 1998 are used to determine the frequency-wave-length relationship for propagating ocean waves in that region. This measured-dispersion equation is related to the effective large-scale properties of the MIZ that occur in models for wave propagation and scattering. We present the measured wave speeds to enable estimation of the parameters in these models.</t>
  </si>
  <si>
    <t>Univ Auckland, Dept Math, Auckland, New Zealand; Ind Res Ltd, Lower Hutt, New Zealand</t>
  </si>
  <si>
    <t>University of Auckland; Callaghan Innovation</t>
  </si>
  <si>
    <t>Fox, C (corresponding author), Univ Auckland, Dept Math, Private Bag 92019, Auckland, New Zealand.</t>
  </si>
  <si>
    <t>Fox, Colin/0000-0002-9278-1777</t>
  </si>
  <si>
    <t>10.3189/172756401781818941</t>
  </si>
  <si>
    <t>WOS:000173446300055</t>
  </si>
  <si>
    <t>Hopkins, MA; Shen, HH</t>
  </si>
  <si>
    <t>Simulation of pancake-ice dynamics in a wave field</t>
  </si>
  <si>
    <t>From many Field observations, it has become well known that pancake ice is ubiquitous in a wave-dominated sea. These strikingly uniform circular floes are consistently found in the Antarctic during the ice-formation season. Their presence has also been reported in the Bering Sea, the Greenland Sea and in polynyas and leads, within pack ice. In mic estimate made by P. Wadhams (personal communication, 1991), the areal coverage of pancake ice in the Southern Ocean marginal ice zone is around 6 x 10(6) km(2). Pancake ice Forms through a combination of thermodynamic growth and mechanical thickening, caused by rafting of floes that is driven by wave motion. This complex growth process is much faster than pure thermodynamic growth and hence may be the main factor responsible for ice-edge advance in marginal ice zones. In this paper we simulate wave/ice-floe dynamics by combining a new three-dimensional discrete element model with wave hydrodynamics. In one set of simulations we calculate ice-drift speed as a function of wave amplitude and ice collisional dynamics, In a second set of simulations we place a non-reflecting vertical barrier meant to simulate the fast-ice edge. The simulation results show the rate of increase of the ice impact force oil the barrier, and the accompanying thickening of the rafted region in front of the barrier, as a function of wave amplitude. Results from this Study will help quantify the formation process for pancake-ice covers in a wave field.</t>
  </si>
  <si>
    <t>USA, Cold Reg Res &amp; Engn Lab, Hanover, NH 03755 USA; Clarkson Univ, Dept Civil &amp; Environm Engn, Potsdam, NY 13699 USA</t>
  </si>
  <si>
    <t>United States Department of Defense; United States Army; U.S. Army Corps of Engineers; U.S. Army Engineer Research &amp; Development Center (ERDC); Cold Regions Research &amp; Engineering Laboratory (CRREL); Clarkson University</t>
  </si>
  <si>
    <t>USA, Cold Reg Res &amp; Engn Lab, 72 Lyme Rd, Hanover, NH 03755 USA.</t>
  </si>
  <si>
    <t>10.3189/172756401781818527</t>
  </si>
  <si>
    <t>WOS:000173446300056</t>
  </si>
  <si>
    <t>Lytle, VI; Worby, AP; Massom, R; Paget, MJ; Allison, I; Wu, X; Roberts, A</t>
  </si>
  <si>
    <t>Ice formation in the Mertz Glacier polynya, East Antarctica, during winter</t>
  </si>
  <si>
    <t>SEA-ICE</t>
  </si>
  <si>
    <t>During August 1999, detailed data were collected in the Mertz Glacier polynya along the coast of Antarctica oil the drift of newly forming ice tracked with drifting buoys, and the ice thickness in the vicinity of the buoys over time. Using these measurements, we estimate the ice-growth rate and the processes which are important in the early stages of ice formation. We find that although there is rapid frazil formation in the open-water areas near the coast and Mertz Glacier Tongue. This frazil ice can take several days to consolidate. A period of warmer weather, when temperatures reached as high as 0degreesC, delayed the consolidation of the frazil for &gt;4.5 days. The undeformed new-ice growth rate averaged about 4 cm d(-1) for the first 5 days of formation. Ridging and rafting doubled the total growth rate to ail average of 8 cm d(-1). Blowing and falling snow was incorporated into the surface of the newly forming ice, with 16 of 22 ice cores having some snow in the top few centimeters.</t>
  </si>
  <si>
    <t>Antarctic CRC, Hobart, Tas 7001, Australia; Australian Antarctic Div, Hobart, Tas 7001, Australia; IASOS, Hobart, Tas 7001, Australia</t>
  </si>
  <si>
    <t>Lytle, VI (corresponding author), Antarctic CRC, Box 252-80, Hobart, Tas 7001, Australia.</t>
  </si>
  <si>
    <t>Allison, Ian F/I-4477-2015; Worby, Anthony P/A-2373-2012; Paget, Matt/E-7839-2017; Robert, Andrew/AAT-5089-2021</t>
  </si>
  <si>
    <t>Allison, Ian F/0000-0001-9599-0251; Robert, Andrew/0000-0002-0394-8396; Massom, Robert/0000-0003-1533-5084</t>
  </si>
  <si>
    <t>10.3189/172756401781818464</t>
  </si>
  <si>
    <t>WOS:000173446300058</t>
  </si>
  <si>
    <t>Dmitrenko, I; Hölemann, JA; Tyshko, K; Churun, V; Kirillov, S; Kassens, H</t>
  </si>
  <si>
    <t>The Laptev Sea flaw polynya, Russian Arctic:: effects on the mesoscale hydrography</t>
  </si>
  <si>
    <t>LEADS; ICE; EXPORT</t>
  </si>
  <si>
    <t>A detailed analysis of hydrographic data from a period of 20 years (1980 99) has shown that the persistent presence of a flaw polynya influences mesoscale hydrography of the Laptev Sea, Russian Arctic. Based on these data, the interannual variability of surface,water salinity within the polynya has been estimated. As the salinity increase in the water layer is mainly caused by the formation of new ice within the polynya, the average ice-production rate of the polynya was calculated. The results indicate all ice production of 3-4 in per season. further aim of this study was to calculate the probability that the convective mixing in the polynya penetrates to the sea-floor. It is demonstrated that the probability is maximal in the flaw-polynya area, but does not exceed 20% in the eastern and 70% in the western part of the polynya, as a result of strong vertical density stratification from river runoff, especially in the eastern Laptev Sea. Additional studies of water circulation in the marginal zone of the flaw polynya were carried out during field observations in April-May 1999. On the basis of conductivity-temperature-depth and current measurements we deduce that high current velocities (62 cm s(-1)) recorded in surface waters near the fast-ice edge are caused by a convectively driven circulation system under the polynya, Our measurements indicate that these high-velocity currents are part of a cellular circulation, which results from the rejection of brine during intensive ice formation in the polynya. The observed azimuthal alignment of the crystalline structure of sea ice is also, most probably, the consequence of this quasi-stationary, cellular circulation.</t>
  </si>
  <si>
    <t>Arctic &amp; Antarctic Res Inst, St Petersburg 199397, Russia; Alfred Wegener Inst Polar &amp; Marine Res, D-27515 Bremerhaven, Germany; GEOMAR Forschungszentrum, D-24148 Kiel, Germany</t>
  </si>
  <si>
    <t>Arctic &amp; Antarctic Research Institute; Helmholtz Association; Alfred Wegener Institute, Helmholtz Centre for Polar &amp; Marine Research; Helmholtz Association; GEOMAR Helmholtz Center for Ocean Research Kiel</t>
  </si>
  <si>
    <t>Dmitrenko, I (corresponding author), Arctic &amp; Antarctic Res Inst, St Petersburg 199397, Russia.</t>
  </si>
  <si>
    <t>; Hoelemann, Jens/N-3608-2016</t>
  </si>
  <si>
    <t>Dmitrenko, Igor/0000-0001-8388-7839; Hoelemann, Jens/0000-0001-5102-4086</t>
  </si>
  <si>
    <t>10.3189/172756401781818455</t>
  </si>
  <si>
    <t>WOS:000173446300059</t>
  </si>
  <si>
    <t>Roberts, A; Allison, I; Lytle, VI</t>
  </si>
  <si>
    <t>Sensible- and latent-heat-flux estimates over the Mertz Glacier polynya, East Antarctica, from in-flight measurements</t>
  </si>
  <si>
    <t>ARCTIC LEADS; SEA-ICE; CANADIAN ARCHIPELAGO; OCEAN</t>
  </si>
  <si>
    <t>Coastal polynyas can be regions of intense ocean-atmosphere heat transfer. In these polynyas, relatively warm ocean is exposed to cold, dry continental air, resulting in high sea-ice production rates. We have calculated ocean-atmosphere heat fluxes over an area of the Mertz Glacier polynya, East Antarctica, from atmospheric data collected in August 1999. Air-temperature and humidity data were measured using a probe extending from a helicopter undercarriage. Flights were made over the most vigorously ice-producing part of the polynya, within 20 km of the coast in southeast Buchanan Bay, both in very strong katabatic winds (20 in s(-1)) and during calmer 2 conditions (5 m s(-1)). The total turbulent heat loss from the surface was nearly 575 W m(-2) for the windy case and 250 W m(-2) for the calmer one, with a ratio of sensible to latent heat in both cases of slightly more than four. These fluxes are in general agreement with other estimates of heat loss from Antarctic polynyas. Strong katabatic winds, sometimes exceeding 40 in s(-1) were common in Buchanan Bay, and the heat losses during the strong-wind case are probably typical of the region. We suggest chat this inner part of the Mertz Glacier polynya has a very high ice-production rate.</t>
  </si>
  <si>
    <t>Antarctic CRC, Hobart, Tas 7001, Australia; IASOS, Hobart, Tas 7001, Australia; Australian Antarctic Div, Hobart, Tas 7001, Australia</t>
  </si>
  <si>
    <t>Roberts, A (corresponding author), Antarctic CRC, Box 252-80, Hobart, Tas 7001, Australia.</t>
  </si>
  <si>
    <t>Allison, Ian F/I-4477-2015; Robert, Andrew/AAT-5089-2021</t>
  </si>
  <si>
    <t>Allison, Ian F/0000-0001-9599-0251; Robert, Andrew/0000-0002-0394-8396</t>
  </si>
  <si>
    <t>10.3189/172756401781818112</t>
  </si>
  <si>
    <t>WOS:000173446300060</t>
  </si>
  <si>
    <t>Massom, RA; Hill, KL; Lytle, VI; Worby, AP; Paget, M; Allison, I</t>
  </si>
  <si>
    <t>Effects of regional fast-ice and iceberg distributions on the behaviour of the Mertz Glacier polynya, East Antarctica</t>
  </si>
  <si>
    <t>An observational account of research carried out in July-August 1999 shows that grounded iceberg and related fast-ice distributions, and periodic break-outs of fast ice (in winter as well as at other times), have an important impact on the size and behaviour of the Mertz Glacier polynya, East Antarctica, and a smaller polynya to the east. Analysis of satellite and in situ data shows that a semi-constant stream of thick broken-out fast ice and other large floes from the east extends westwards from north of the glacier terminus to form a compact barrier to the net west-northwesterly export of ice formed in the polynya. An annual fast-ice promontory to the west further narrows the outlet path. As a result of this and high ice-production rates, the polynya periodically back-fills, significantly reducing the open-water area present. Intervening flush-outs by synoptic storm events clear the polynya region to some extent before it back-fills again. This cycle continued from mid-March until early October in 1999, when a significant change in the regional ice drift occurred. A preliminary comparison with data from 1998 indicates that the timing and magnitude of the processes may vary interannually. Similar morphological features were also observed in 1963 (on a declassified photoreconnaissance satellite image).</t>
  </si>
  <si>
    <t>Antarctic CRC, Hobart, Tas 7001, Australia; Univ Tasmania, Inst Antarctic &amp; So Ocean Studies, Hobart, Tas 7001, Australia; Australian Antarctic Div, Kingston, Tas 7050, Australia</t>
  </si>
  <si>
    <t>Massom, RA (corresponding author), Antarctic CRC, Box 252-80, Hobart, Tas 7001, Australia.</t>
  </si>
  <si>
    <t>Allison, Ian F/I-4477-2015; Paget, Matt/E-7839-2017; Worby, Anthony P/A-2373-2012</t>
  </si>
  <si>
    <t>Allison, Ian F/0000-0001-9599-0251; Massom, Robert/0000-0003-1533-5084</t>
  </si>
  <si>
    <t>10.3189/172756401781818518</t>
  </si>
  <si>
    <t>WOS:000173446300062</t>
  </si>
  <si>
    <t>Bindoff, NL; Williams, GD; Allison, I</t>
  </si>
  <si>
    <t>Sea-ice growth and water-mass modification in the Mertz Glacier polynya, East Antarctica, during winter</t>
  </si>
  <si>
    <t>HEAT-FLUX; CIRCULATION; SLOPE</t>
  </si>
  <si>
    <t>In July-September 1999, an extensive oceanographic survey (87 conductivity-, temperature- and depth-measuring stations) was conducted in the Mertz Glacier polynya over the Adelie Depression off the Antarctic coast between 145degrees and 150degrees E. We identify and describe four key water masses in this polynya: highly modified circumpolar deep water (HMCDW), winter water (WW), ice-shelf water (ISW) and high-salinity shelf water (HSSW). Combining surface velocity data (from an acoustic Doppler current-profiler) with three hydrographic sections, we found the HMCDW to be flowing westward along the shelf break (0.7 Sv), the WW and HSSW flowing eastwards underneath Mertz Glacier (2.0 Sv) and that there was a westward return flow of ISW against the continent (1.2 Sv). Using a simple box model for the exchanges of heat and fresh water between the principal water masses, we find that the polynya was primarily a latent-heat polynya with 95% of the total heat flux caused by sea-ice Formation. This heat flux results from a fresh-water-equivalent sea-ice growth rate of 4.9 7.7 cm d (1) and a mass exchange between HMCDW and WW of 1.45 Sv The inferred ocean heat flux is 8-14 W m(-2) and compares well with other indirect estimates.</t>
  </si>
  <si>
    <t>Univ Tasmania, Antarctic CRC, Hobart, Tas 7001, Australia; Univ Tasmania, IASOS, Hobart, Tas 7001, Australia; Australian Antarctic Div, Hobart, Tas 7001, Australia</t>
  </si>
  <si>
    <t>Univ Tasmania, Antarctic CRC, Box 252-80, Hobart, Tas 7001, Australia.</t>
  </si>
  <si>
    <t>Allison, Ian F/I-4477-2015; Bindoff, Nathaniel Lee/IVV-0333-2023; Bindoff, Nathaniel Lee/C-8050-2011</t>
  </si>
  <si>
    <t>Allison, Ian F/0000-0001-9599-0251; Bindoff, Nathaniel Lee/0000-0001-5662-9519; Bindoff, Nathaniel Lee/0000-0001-5662-9519</t>
  </si>
  <si>
    <t>10.3189/172756401781818185</t>
  </si>
  <si>
    <t>WOS:000173446300063</t>
  </si>
  <si>
    <t>Timmermann, R; Beckmann, A; Hellmer, HH</t>
  </si>
  <si>
    <t>The role of sea ice in the fresh-water budget of the Weddell Sea, Antarctica</t>
  </si>
  <si>
    <t>NUMERICAL-MODEL; CIRCULATION; TOPOGRAPHY; SOUTHERN; TRANSPORT; GROWTH; SHELF</t>
  </si>
  <si>
    <t>A coupled sea-ice-ocean model of the Weddell Sea, Antarctica, has been developed as part of the Bremerhaven Regional Ice-Ocean Simulations (BRIOS) project. It is based on the s-Coordinate Primitive Equation Ocean Model SPEM) and a dynamic-thermodynamic sea-ice model with viscous-plastic rheology which also provides the thermohaline Forcing at the base of the Antarctic ice shelves. Model runs are forced with wind, cloudiness, temperature and precipitation fields of the European Centre for Medium-range Weather Forecasts and U.S. National Centers for Environmental Prediction re-analyses. Model results show good agreement with observations of ice extent, thickness and drift. Water-mass properties and the large-scale circulation are in good agreement with Observations. Fresh-water fluxes from sea-ice formation as well as from ice-shelf basal melting and from precipitation are computed and compiled to the fresh-water budget of the Weddell Sea. Supporting estimates based on hydrographic observations, model results indicate that fresh-water loss due to sea-ice formation and export (34 mSv) is roughly balanced by ice-shelf basal melting (9 mSv) and net precipitation (19 mSv). Furthermore. sea-ice formation appears to be a necessary condition for bottom-water production in the Weddell Sea.</t>
  </si>
  <si>
    <t>Alfred Wegener Inst Polar &amp; Marine Res, POB 120161, D-27515 Bremerhaven, Germany.</t>
  </si>
  <si>
    <t>10.3189/172756401781818121</t>
  </si>
  <si>
    <t>WOS:000173446300066</t>
  </si>
  <si>
    <t>Ackley, SF; Geiger, CA; King, JC; Hunke, EC; Comiso, J</t>
  </si>
  <si>
    <t>The Ronne polynya of 1997/98: observations of air-ice-ocean interaction</t>
  </si>
  <si>
    <t>BOTTOM WATER FORMATION; WEDDELL SEA</t>
  </si>
  <si>
    <t>The Ronne polynya formed in the Weddell Sea, Antarctica, during the period November 1997-February 1998 to an extent not seen previously in the 25 years of all-weather satellite observations. The vessel HMS Endurance traversed the polynya region and took sea-ice, physical oceanographic and meteorological measurements during January and early February 1998. These observations, together with satellite imagery and weather records, were analyzed to determine the causes of the anomalous condition observed and to provide comparisons for numerical modeling experiments. The polynya area, analyzed from satellite imagery, showed a linear, nearly constant, increase with time from mid-November 1997 through February 1998. It had a maximum open-water area of 3 X 10(5) km(2) and extended 500 km north of the Ronne Ice Shelf (at 76degrees S) to 70degrees S. The ice and snow structure of floes at (lie northern edge of the polynya showed the ice there had formed in the previous mid- to late winter October 1997 or earlier) and had been advected there either from the eastern Weddell Sea or from the front of the Ronne Ice Shelf. Analyses of the wind fields showed anomalous spring -summer wind fields in the polynya year, with a strong southerly to southwesterly component compared to the mean easterly winds typical of summer conditions. These southerly wind conditions, ill both magnitude and direction, therefore account for the drift of ice northward. The predominant summer easterly winds usually fill the southern Weddell Sea with ice from the east, and the high-albedo surfaces reflect (lie solar radiation, preventing warming of the surface ocean waters and consequent sea-ice melt. Instead, high incident solar radiation From November 1997 to February 1998 was absorbed by (lie open water, rather than being reflected, thereby both melting ice and preventing ice formation, and thereby sustaining the polynya. We conclude that open-water-albedo feedback is necessary to allow the observed polynya formation, since similar drift conditions prevail in winter (arising from southerly winds also) and usually, result in extensive new ice formation in front of the Ronne Ice Shelf. The strong southerly winds therefore have quite opposing seasonal effects, leading to high ice production ill winter as usually found, and extensive open water if they occur in spring and Summer, as seen in this atypical event in 1997/98. In this case, the atypical southerly winds may be associated with all El Nino-Southern Oscillation (ENSO) -induced atmospheric circulation pattern.</t>
  </si>
  <si>
    <t>Clarkson Univ, Dept Civil &amp; Environm Engn, Potsdam, NY 13699 USA; Univ Delaware, Dept Geog, Ctr Climat Res, Newark, DE 19716 USA; British Antarctic Survey, NERC, Cambridge CB3 0ET, England; Los Alamos Natl Lab, Los Alamos, NM 87545 USA; NASA, Goddard Space Flight Ctr, Lab Hydrospher Proc, Greenbelt, MD 20771 USA</t>
  </si>
  <si>
    <t>Clarkson University; University of Delaware; UK Research &amp; Innovation (UKRI); Natural Environment Research Council (NERC); NERC British Antarctic Survey; United States Department of Energy (DOE); Los Alamos National Laboratory; National Aeronautics &amp; Space Administration (NASA); NASA Goddard Space Flight Center</t>
  </si>
  <si>
    <t>Ackley, SF (corresponding author), Clarkson Univ, Dept Civil &amp; Environm Engn, Potsdam, NY 13699 USA.</t>
  </si>
  <si>
    <t>10.3189/172756401781818725</t>
  </si>
  <si>
    <t>WOS:000173446300067</t>
  </si>
  <si>
    <t>Smith, RC; Stammerjohn, SE</t>
  </si>
  <si>
    <t>Variations of surface air temperature and sea-ice extent in the western Antarctic Peninsula region</t>
  </si>
  <si>
    <t>SEMIANNUAL OSCILLATION; SOUTHERN-OSCILLATION; EUPHAUSIA-SUPERBA; MARINE ECOSYSTEM; CIRCUMPOLAR WAVE; CLIMATE; VARIABILITY</t>
  </si>
  <si>
    <t>The western Antarctic Peninsula (WAP) region has experienced a statistically significant warming trend during the past half-century. In addition, a statistically significant anticorrelation between air temperatures and sea-ice extent, as determined from satellite passive-microwave data during the past two decades, has been observed for this region. Consistent with this strong coupling, sea-ice extent in the WAP area has trended down during this period of satellite observations. Further, much of the variability in both air temperature and sea ice in the WAP region has been shown to be influenced by contrasting maritime (warm, moist) and continental (cold, dry) climate regimes. As part of the Palmer Long Term Ecological Research program, the ecological influence of these trends and variability is being studied, and effects have already been demonstrated at all trophic levels. Here we extend earlier observations to include the past decade and focus on the annual cycles of air temperature and sea-ice extent for the past few years, with the aim of placing these recent observations within the context of changes seen in the longer-term records. The more recent years have seen an increasing maritime influence in the WAP region, with corresponding effects on the marine ecosystem.</t>
  </si>
  <si>
    <t>Univ Calif Santa Barbara, Inst Computat Earth Syst Sci, Santa Barbara, CA 93106 USA</t>
  </si>
  <si>
    <t>Univ Calif Santa Barbara, Inst Computat Earth Syst Sci, Santa Barbara, CA 93106 USA.</t>
  </si>
  <si>
    <t>10.3189/172756401781818662</t>
  </si>
  <si>
    <t>WOS:000173446300075</t>
  </si>
  <si>
    <t>Gildor, H; Tziperman, E</t>
  </si>
  <si>
    <t>Sea ice, as the glacial cycles' climate switch, and interhemispheric thermohaline teleconnections</t>
  </si>
  <si>
    <t>NORTH-ATLANTIC; ANTARCTIC ICE; SHEET; MODEL; OCEAN; CORE; GREENLAND; RADIATION; RECORD; AGE</t>
  </si>
  <si>
    <t>A box model combining the different physical components of the coupled ocean, atmosphere, sea-ice and land-ice climate system is used to study the possible role of sea ice in the glacial-interglacial oscillations. In this paper we investigate the teleconnection between the two hemispheres, and suggest a mechanism which can explain the observed Southern Ocean sea-ice variability during glacial-interglacial cycles. The teleconnection mechanism involves changes in the temperature of the water transported from the Northern to the Southern Hemisphere by the thermohaline circulation (THC), rather than the amplitude of the THC as has often been suggested. The sequence of events proposed by this model indicates that it would be especially interesting to obtain accurate information on the relative timing of sea-ice and land-ice variations. Fuller general circulation models and new sea-ice proxy data are needed to quantify the relative role of the proposed teleconnection mechanism.</t>
  </si>
  <si>
    <t>Weizmann Inst Sci, IL-76100 Rehovot, Israel</t>
  </si>
  <si>
    <t>Weizmann Institute of Science</t>
  </si>
  <si>
    <t>Gildor, H (corresponding author), Weizmann Inst Sci, IL-76100 Rehovot, Israel.</t>
  </si>
  <si>
    <t>Tziperman, Eli/A-1219-2008; Gildor, Hezi/AAZ-6602-2021</t>
  </si>
  <si>
    <t>Gildor, Hezi/0000-0003-0898-6292</t>
  </si>
  <si>
    <t>10.3189/172756401781818310</t>
  </si>
  <si>
    <t>WOS:000173446300076</t>
  </si>
  <si>
    <t>Zhang, YX; Semtner, AJ</t>
  </si>
  <si>
    <t>The Antarctic Circumpolar Wave in a global, high-resolution, coupled ice-ocean model</t>
  </si>
  <si>
    <t>SEA-ICE; VARIABILITY; TEMPERATURE; SIMULATIONS; DYNAMICS; CLIMATE</t>
  </si>
  <si>
    <t>The Antarctic Circumpolar Wave (ACW) is identified by White and Peterson (1996) as anomalies in sea-level pressure, meridional wind stress (MWS), sea-surface temperature (SST) and sea-ice extent (SIE) propagating eastward over the Southern Ocean. In this study, the ACW is examined using a global coupled ice-ocean model with an average horizontal grid size of 1/4degrees. The model is forced with 1979-93 daily average atmospheric data from the European Centre for Medium-range Weather Forecasts (ECMWF) re-analysis (ERA). The sea-ice model includes both dynamics and thermodynamics, and the ocean model is a primitive-equation, free-surface, z-coordinate model. Both standing and propagating oscillations are present in ERA surface net heat-flux (NHF) and MWS anomalies. The ocean and ice respond to such atmospheric forcing with similar standing and propagating oscillations. For the propagating mode, SIE, SST and sea-surface salinity anomalies propagate eastward with a period of about 4-5 years and take about 8-9 years to encircle the Antarctic continent. Thus, the simulated ACW is a wavenumber-2 phenomenon which agrees with the ACW identified by White and Peterson (1996). The correctly simulated strength of the Antarctic Circumpolar Current, which governs the phase speed of oceanic anomalies, in our high-resolution model is essential for obtaining the observed wavenumber-2 ACW mode in the ocean. The ACW signature is also present in ocean temperature and salinity anomalies down to about 1000 m depth with similar eastward-propagating speed. The anomalies in the interior ocean are more coherent and intense over the Pacific and Atlantic sectors than over the Indian sector. Northward (southward) MWS anomalies, northward (southward) SIE anomalies, cold (warm) SST anomalies and saltier (fresher) than normal salinity anomalies are in phase, while less (more) than normal NHF is 90degrees out of phase with them, indicating the ACW in sea ice and ocean is a response to that in the atmosphere.</t>
  </si>
  <si>
    <t>Naval Postgrad Sch, Dept Oceanog, Monterey, CA 93943 USA</t>
  </si>
  <si>
    <t>United States Department of Defense; United States Navy; Naval Postgraduate School</t>
  </si>
  <si>
    <t>Zhang, YX (corresponding author), Naval Postgrad Sch, Dept Oceanog, Monterey, CA 93943 USA.</t>
  </si>
  <si>
    <t>10.3189/172756401781818644</t>
  </si>
  <si>
    <t>WOS:000173446300082</t>
  </si>
  <si>
    <t>Wu, XR; Budd, WF; Worby, AP; Allison, I</t>
  </si>
  <si>
    <t>Sensitivity of the Antarctic sea-ice distribution to oceanic heat flux in a coupled atmosphere-sea-ice model</t>
  </si>
  <si>
    <t>WEDDELL-SEA; THICKNESS DISTRIBUTION; MIXED-LAYER; PACK ICE; WINTER; SNOW; SIMULATIONS</t>
  </si>
  <si>
    <t>A coupled atmosphere-sea-ice model is used to Study the sensitivity of the Antarctic sea-ice distribution to oceanic heat flux (OHF). Remote sensing of sea ice from microwave radiometers provides data on ice extent and ice concentration. The ice-thickness data used are from ship-based observations. Our simulations suggest that OHF values of 0-5 Wm (2) will cause sea ice to be too thick in the model. A value of 20-25 Wm (2) throughout the car causes sea ice to be too thin in the model. The model results indicate that a seasonally varying OHF is required to match the modelled thickness with observations. Values of 5-30 W m(-2) with all annual mean of 10- 15 Wm(-2), give a reasonable distribution of sea-ice thickness. This agrees with the limited observations of OHF available for the Antarctic. The model results also indicate that the OHF should be varied spatially. When a seasonally and spatially variable OHF is applied to the coupled atmosphere-sea-ice model a still better simulation of the sea-ice distribution is obtained. Our results also suggest that the role of ice advection is very important in the determination of the sea-ice distribution, and it call be quantified by the model.</t>
  </si>
  <si>
    <t>Antarctic CRC, Hobart, Tas 7001, Australia; Australian Antarctic Div, Hobart, Tas 7001, Australia</t>
  </si>
  <si>
    <t>Wu, XR (corresponding author), Antarctic CRC, Box 252-80, Hobart, Tas 7001, Australia.</t>
  </si>
  <si>
    <t>Worby, Anthony P/A-2373-2012; Allison, Ian F/I-4477-2015</t>
  </si>
  <si>
    <t>Allison, Ian F/0000-0001-9599-0251</t>
  </si>
  <si>
    <t>10.3189/172756401781818545</t>
  </si>
  <si>
    <t>WOS:000173446300088</t>
  </si>
  <si>
    <t>Turner, J; Connolley, W; Cresswell, D; Harangozo, S</t>
  </si>
  <si>
    <t>The simulation of antarctic sea ice in the Hadley Centre Climate Model (HadCM3)</t>
  </si>
  <si>
    <t>CIRCULATION</t>
  </si>
  <si>
    <t>An assessment is presented of the extent and variability of Antarctic sea ice in the non-flux-corrected version of the Hadley Centre's coupled atmosphere-ocean general circulation model (HadCM3). The results arc based on a 100 year segment of a long control run of the model with the sea ice being compared to ice extents and concentrations derived from passive microwave satellite data. Over the year as a whole, the model ice extent (the area with &gt; 15 % ice concentration) is 91 % of that determined from satellite imagery, but, not surprisingly, the regional-scale distribution differs from the observed. Throughout the year there is too much ice near 90degrees E, which is believed to be present as a result of incorrect ocean currents near Kerguelen. In contrast to the satellite data, there is too little ice to the west of the Antarctic Peninsula as a result of anomalously northerly atmospheric flow, compared to observations. During the winter the sea-ice concentrations in the model are too high, possibly as a result of the simple representation of the sea ice, which does not simulate complex dynamical interactions within the pack, The annual cycle of sea-ice advance/retreat in the model has a phase error, with the winter sea-ice maximum extent being too late by about 1 month.</t>
  </si>
  <si>
    <t>British Antarctic Survey, Nat Environm Res Council, Cambridge CB3 0ET, England; Meteorol Off, Hadley Ctr Climate Predict &amp; Res, Bracknell RG12 2SZ, Berks, England</t>
  </si>
  <si>
    <t>UK Research &amp; Innovation (UKRI); Natural Environment Research Council (NERC); NERC British Antarctic Survey; Met Office - UK; Hadley Centre</t>
  </si>
  <si>
    <t>Turner, J (corresponding author), British Antarctic Survey, Nat Environm Res Council, Madingley Rd, Cambridge CB3 0ET, England.</t>
  </si>
  <si>
    <t>Cresswell, Doug/0000-0001-8309-6068; Turner, John/0000-0002-6111-5122</t>
  </si>
  <si>
    <t>NERC [bas010003] Funding Source: UKRI; Natural Environment Research Council [bas010003] Funding Source: researchfish</t>
  </si>
  <si>
    <t>10.3189/172756401781818095</t>
  </si>
  <si>
    <t>WOS:000173446300089</t>
  </si>
  <si>
    <t>Crutzen, PJ; Lelieveld, J</t>
  </si>
  <si>
    <t>Human impacts on atmospheric chemisty</t>
  </si>
  <si>
    <t>ANNUAL REVIEW OF EARTH AND PLANETARY SCIENCES</t>
  </si>
  <si>
    <t>anthropogenic activities; effects on the atmosphere; stratospheric ozone depletion; photochemical ozone production; ozone hole; CH4; NOx; CO; HOx; ClOx</t>
  </si>
  <si>
    <t>POLAR STRATOSPHERIC CLOUDS; NITRIC-ACID TRIHYDRATE; IN-SITU OBSERVATIONS; TROPOSPHERIC OZONE; ANTARCTIC OZONE; VERTICAL-DISTRIBUTION; ARCTIC STRATOSPHERE; 3-DIMENSIONAL MODEL; HYDROGEN-CHLORIDE; NITROGEN-OXIDES</t>
  </si>
  <si>
    <t>An overview is given of the main anthropogenic influences on the chemistry of the atmosphere. Industrial and agricultural activities have altered the chemical composition of the atmosphere in many important ways, which is reflected especially in the distribution and concentrations of ozone in the troposphere and stratosphere. On one hand, as a result of industrial chlorofluorocarbon emissions, ozone has been depleted in unexpected major ways in the polar stratosphere. On the other hand, especially as a result of NO emissions, tropospheric ozone has increased both in the industrial midlatitude regions and at low latitudes, in the latter mostly because of tropical biomass burning. In the future, growing anthropogenic emissions by developing nations will have an additional effect on the climate and the self-cleaning (oxidation) power of the atmosphere.</t>
  </si>
  <si>
    <t>Max Planck Inst Chem, Dept Atmospher Chem, D-55020 Mainz, Germany</t>
  </si>
  <si>
    <t>Max Planck Inst Chem, Dept Atmospher Chem, D-55020 Mainz, Germany.</t>
  </si>
  <si>
    <t>air@mpch-mainz.mpg.de; lelieveld@mpch-mainz.mpg.de</t>
  </si>
  <si>
    <t>Crutzen, Paul J/F-6044-2012; Lelieveld, Johannes (Jos)/A-1986-2013</t>
  </si>
  <si>
    <t>Lelieveld, Johannes (Jos)/0000-0001-6307-3846</t>
  </si>
  <si>
    <t>ANNUAL REVIEWS</t>
  </si>
  <si>
    <t>PALO ALTO</t>
  </si>
  <si>
    <t>4139 EL CAMINO WAY, PO BOX 10139, PALO ALTO, CA 94303-0139 USA</t>
  </si>
  <si>
    <t>0084-6597</t>
  </si>
  <si>
    <t>ANNU REV EARTH PL SC</t>
  </si>
  <si>
    <t>Annu. Rev. Earth Planet. Sci.</t>
  </si>
  <si>
    <t>10.1146/annurev.earth.29.1.17</t>
  </si>
  <si>
    <t>Astronomy &amp; Astrophysics; Geosciences, Multidisciplinary</t>
  </si>
  <si>
    <t>Astronomy &amp; Astrophysics; Geology</t>
  </si>
  <si>
    <t>434JF</t>
  </si>
  <si>
    <t>WOS:000168810800002</t>
  </si>
  <si>
    <t>Fletcher, GL; Hew, CL; Davies, PL</t>
  </si>
  <si>
    <t>Antifreeze proteins of teleost fishes</t>
  </si>
  <si>
    <t>ANNUAL REVIEW OF PHYSIOLOGY</t>
  </si>
  <si>
    <t>thermal hysteresis; ice; evolution; natural selection; gene expression</t>
  </si>
  <si>
    <t>WINTER FLOUNDER ANTIFREEZE; COD GADUS-MORHUA; ANTARCTIC NOTOTHENIOID FISH; CARBOHYDRATE-BINDING SITE; POINT-DEPRESSING PROTEIN; PLASMA FREEZING-POINT; C-TYPE LECTIN; MESSENGER-RNA; PSEUDOPLEURONECTES-AMERICANUS; MACROZOARCES-AMERICANUS</t>
  </si>
  <si>
    <t>Marine teleosts at high latitudes can encounter ice-laden seawater that is approximately 1 degreesC colder than the colligative freezing point of their body fluids. They avoid freezing by producing small antifreeze proteins (AFPs) that adsorb to ice and halt its growth, thereby producing an additional non-colligative lowering of the freezing point. AFPs are typically secreted by the liver into the blood. Recently, however. it has become clear that AFP isoforms are produced in the epidermis (skin, scales, fin. and gills) and may serve as a first line of defense against ice propagation into the fish. The basis for the adsorption of AFPs to ice is something of a mystery and is complicated by the extreme structural diversity of the five antifreeze types. Despite the recent acquisition of several AFP three-dimensional structures and the definition of their ice-binding sites by mutagenesis, no common ice-binding motif or even theme is apparent except that surface-surface complementarity is important for binding. The remarkable diversity of antifreeze types and their seemingly haphazard phylogenetic distribution suggest that these proteins might have evolved recently in response to sea level glaciation occurring just 1-2 million years ago in the northern hemisphere and 10-30 million years ago around Antarctica. Not surprisingly, the expression of AEP genes from different origins can also be quite dissimilar. The most intensively studied system is that of the winter flounder, which has a built-in annual cycle of antifreeze expression controlled by growth hormone (GH) release from the pituitary in tune with seasonal cues. The signal transduction pathway, transcription factors, and promoter elements involved in this process are just beginning to be characterized.</t>
  </si>
  <si>
    <t>Mem Univ Newfoundland, Ctr Ocean Sci, St John, NF A1C 5S7, Canada; Natl Univ Singapore, Dept Biol Sci, Singapore 119260, Singapore; Queens Univ, Dept Biochem, Kingston, ON K7L 3N6, Canada</t>
  </si>
  <si>
    <t>Memorial University Newfoundland; National University of Singapore; Queens University - Canada</t>
  </si>
  <si>
    <t>Fletcher, GL (corresponding author), Mem Univ Newfoundland, Ctr Ocean Sci, St John, NF A1C 5S7, Canada.</t>
  </si>
  <si>
    <t>fletcher@afprotein.com; choyhew9@hotmail.com; daviesp@post.queensu.ca</t>
  </si>
  <si>
    <t>Hew, Choy Leong/I-1501-2012</t>
  </si>
  <si>
    <t>0066-4278</t>
  </si>
  <si>
    <t>ANNU REV PHYSIOL</t>
  </si>
  <si>
    <t>Annu. Rev. Physiol.</t>
  </si>
  <si>
    <t>10.1146/annurev.physiol.63.1.359</t>
  </si>
  <si>
    <t>421PC</t>
  </si>
  <si>
    <t>WOS:000168071900016</t>
  </si>
  <si>
    <t>Viotti, R; La Padula, CD; Nanni, D; Vignato, A</t>
  </si>
  <si>
    <t>Three reflection telescopes for wide field space astronomy. First results from a 30 cm prototype and prospects</t>
  </si>
  <si>
    <t>ASTROPHYSICS AND SPACE SCIENCE</t>
  </si>
  <si>
    <t>We present the basic concepts of the two-mirror, three-reflection optical system (2MTRT), and discuss the important benefits of such a system for space projects: wide (similar to 2 degrees) corrected and unvignetted FOV, without the use of refractive optics for the field correction, planarity of the focal surface for an optimized installation of wide area detectors, easy telescope adjustement, small volume and little mass. We also report the results of optical tests made with a 30 cm prototype, equipped with a 2k x 2k CCD camera, and give examples of scientific programmes which can be performed from space and in hostile terrestrial sites such as the Antarctic Plateau.</t>
  </si>
  <si>
    <t>CNR, Ist Astrofis Spaziale, Area Ric Tor Vergata, I-00133 Rome, Italy; Osserv Astron Roma, I-00040 Rome, Italy</t>
  </si>
  <si>
    <t>Istituto Nazionale Astrofisica (INAF); Consiglio Nazionale delle Ricerche (CNR); University of Rome Tor Vergata; Istituto Nazionale Astrofisica (INAF)</t>
  </si>
  <si>
    <t>Viotti, R (corresponding author), CNR, Ist Astrofis Spaziale, Area Ric Tor Vergata, I-00133 Rome, Italy.</t>
  </si>
  <si>
    <t>0004-640X</t>
  </si>
  <si>
    <t>ASTROPHYS SPACE SCI</t>
  </si>
  <si>
    <t>Astrophys. Space Sci.</t>
  </si>
  <si>
    <t>10.1023/A:1011624332649</t>
  </si>
  <si>
    <t>467VV</t>
  </si>
  <si>
    <t>WOS:000170725200009</t>
  </si>
  <si>
    <t>Mazzera, DM; Lowenthal, DH; Chow, JC; Watson, JG; Grubisic, V</t>
  </si>
  <si>
    <t>PM10 measurements at McMurdo Station, Antarctica</t>
  </si>
  <si>
    <t>PM10 aerosol; air pollution; Antarctica; methanesulfonate</t>
  </si>
  <si>
    <t>SEA-SALT; SIZE DISTRIBUTIONS; AEROSOL; METHANESULFONATE; SULFATE; SURFACE; NITRATE; CARBON; PARTICLES; RATIO</t>
  </si>
  <si>
    <t>PM10 aerosols at McMurdo Station, Antarctica were sampled continuously during the austral summers of 1995-1996 and 1996-1997. PM10 (particles with aerodynamic diameters less than 10 mum) mass concentrations at Hut Point, located less than 1 km from downtown McMurdo, averaged 3.4 mug m(-3) more than an order of magnitude lower than the USEPA annual average National Ambient Air anality Standard (NAAQS) of 50 mug m(-3). Concentrations of methanesulfonate and nitrate were similar to those measured at other Antarctic coastal sites. Non-sea-salt sulfate (NSS) concentrations on Ross Island were higher than those found at other coastal locations. The average elemental carbon concentration (129 ng m(-3)) downwind of the station was two orders of magnitude higher than those measured at remote coastal and inland Antarctic sites during summer. Average sulfur dioxide concentrations (746 ng m(-3)) were 3-44 times higher than those reported for coastal Antarctica. Concentrations of Ph and Zn were 17 and 46 times higher than those reported for the South Pole. A methanesulfonate to biogenic sulfate ratio (R) of 0.47 was derived that is consistent with the proposed temperature dependence of R. (C) 2001 Elsevier Science Ltd. All rights reserved.</t>
  </si>
  <si>
    <t>Univ &amp; Community Coll Syst Nevada, Desert Res Inst, Reno, NV 89512 USA; Entrix, Walnut Creek, CA 94596 USA</t>
  </si>
  <si>
    <t>Nevada System of Higher Education (NSHE); Desert Research Institute NSHE</t>
  </si>
  <si>
    <t>Univ &amp; Community Coll Syst Nevada, Desert Res Inst, 2215 Raggio Pkwy, Reno, NV 89512 USA.</t>
  </si>
  <si>
    <t>dougl@dri.edu</t>
  </si>
  <si>
    <t>1873-2844</t>
  </si>
  <si>
    <t>10.1016/S1352-2310(00)00409-X</t>
  </si>
  <si>
    <t>415WB</t>
  </si>
  <si>
    <t>WOS:000167745600018</t>
  </si>
  <si>
    <t>Guest, D</t>
  </si>
  <si>
    <t>The future direction of plant pathology in Australasia</t>
  </si>
  <si>
    <t>AUSTRALASIAN PLANT PATHOLOGY</t>
  </si>
  <si>
    <t>2nd Australasian Soilborne Diseases Symposium</t>
  </si>
  <si>
    <t>MAR 05-08, 2001</t>
  </si>
  <si>
    <t>LORNE, AUSTRALIA</t>
  </si>
  <si>
    <t>Australasia, 'Australia and surrounding islands', refers to a vast and diverse geographic region including Australia, New Zealand and Papua New Guinea. The geographic diversity, spanning wet tropical to sub-Antarctic biomes and everything in between, means that the problems confronting Australasian plant pathologists are equally diverse. Rapid changes to our physical, economic and geopolitical environment, and the biological irrelevance of national borders, promise interesting times ahead for plant pathologists. In this paper I want to address the following: Who will the future plant pathologists be? What will they work on? Who will they work for? Will biotechnology ever become useful? An ethical future?.</t>
  </si>
  <si>
    <t>Univ Melbourne, Sch Bot, Melbourne, Vic 3010, Australia</t>
  </si>
  <si>
    <t>Guest, D (corresponding author), Univ Melbourne, Sch Bot, Melbourne, Vic 3010, Australia.</t>
  </si>
  <si>
    <t>Guest, David I/A-9481-2011; Guest, David/AAT-5243-2020</t>
  </si>
  <si>
    <t>Guest, David I/0000-0002-4138-5635; Guest, David/0000-0002-4138-5635</t>
  </si>
  <si>
    <t>0815-3191</t>
  </si>
  <si>
    <t>AUSTRALAS PLANT PATH</t>
  </si>
  <si>
    <t>Austral. Plant Pathol.</t>
  </si>
  <si>
    <t>10.1071/AP01004</t>
  </si>
  <si>
    <t>444NX</t>
  </si>
  <si>
    <t>WOS:000169407200001</t>
  </si>
  <si>
    <t>Martin, HA</t>
  </si>
  <si>
    <t>The family Convolvulaceae in the Tertiary of Australia: evidence from pollen</t>
  </si>
  <si>
    <t>AUSTRALIAN JOURNAL OF BOTANY</t>
  </si>
  <si>
    <t>ANGIOSPERMS; PALYNOLOGY</t>
  </si>
  <si>
    <t>A study of fossil and modern pollen of the family Convolvulaceae is presented and five fossil types are identified. Two types, one a large tricolpate of the form species Perfotricolpites digitatus, with similarities to Convolvulus, Operculina and probably other genera, and the second, a small tricolpate, Tricolpites trioblatus, with affinities to Wilsonia and possibly Cressa, first appear in the late Eocene of southern Australia. Fossil pollen is found worldwide, with the oldest occurrence being Calystegiapollis microechinatus from the early Eocene of Africa. Perfotricolpites digitatus first appears in the mid-Eocene of Brazil, and specimens similar to P. digitatus from Antarctica suggest that it migrated into Australia by the Antarctic route. Wilsonia is endemic to Australia today, but it was in New Zealand in the mid-late Miocene.</t>
  </si>
  <si>
    <t>Univ New S Wales, Sch Biol Sci, Sydney, NSW 2052, Australia</t>
  </si>
  <si>
    <t>Martin, HA (corresponding author), Univ New S Wales, Sch Biol Sci, Sydney, NSW 2052, Australia.</t>
  </si>
  <si>
    <t>0067-1924</t>
  </si>
  <si>
    <t>AUST J BOT</t>
  </si>
  <si>
    <t>Aust. J. Bot.</t>
  </si>
  <si>
    <t>10.1071/BT00057</t>
  </si>
  <si>
    <t>427MY</t>
  </si>
  <si>
    <t>WOS:000168410900009</t>
  </si>
  <si>
    <t>Beyer, L; White, DM; Bölter, M</t>
  </si>
  <si>
    <t>Soil organic matter composition, transformation, and microbial colonisation of Gelic Podzols in the coastal region of East Antarctica</t>
  </si>
  <si>
    <t>AUSTRALIAN JOURNAL OF SOIL RESEARCH</t>
  </si>
  <si>
    <t>microbial counts and abundance; CPMAS carbon-13 NMR spectroscopy; pyrolysis-GC mass spectrometry; soil ecology; soil formation; podzolisation</t>
  </si>
  <si>
    <t>ISLAND ARCTOWSKI STATION; CONTINENTAL ANTARCTICA; WINDMILL-ISLANDS; WILKES LAND; ORNITHOGENIC SOILS; MASS-SPECTROMETRY; CASEY STATION; BUDD COAST; BIOMASS; DISTRIBUTIONS</t>
  </si>
  <si>
    <t>During recent soil geographical expeditions to Casey Station (Coastal Antarctica), soils with the morphological features of Gelic Podzols (WRB: Spodic Haplic Cryosols) were found to be widespread. The purpose of this paper is to provide further information on these unique soils with respect to soil organic matter (SOM), microbiology, and soil formation. Antarctic Podzols develop on solid rock, outwash sediments, and abandoned penguin rookeries. A comparison of different SOM depth profiles, however, revealed carbon (C) and nitrogen (N) of unknown origin. The SOM composition was characterised by a mean C/N ratio of 10, with a high content of carboxyl-C units, probably derived from amino acids, organic acids, and oxidised carbohydrates. Pyrolysis-GC/MS and NMR showed a notable variation between SOM in depth profiles and the horizons within each profile. Microbial colonisation was affected by the surface vegetation, content of organic C, and the influence of seabirds. Correlations between selected SOM compounds and bacteria on the vegetated soils suggested that algal and moss C influence SOM to a great extent. Most of the long-chain C moieties in the antarctic Podzols appeared to contain multiple oxygen-and N-containing functional groups, cyclic ionised and heterocyclic structures, and alkylations. Data suggest that, along with the podzolisation process, organic acids, non-humified carbohydrates, and N-containing moieties migrated from the topsoil into the spodic horizons. The results are discussed with respect to (i) soil formation and (ii) microbial colonisation in the cold climate. The Gelic Podzols hold huge amounts of C and N but their origin is poorly understood. Explaining the origin of the SOM should be a focus for future research in antarctic soil biogeochemistry.</t>
  </si>
  <si>
    <t>Univ Kiel, Inst Polar Ecol, D-24148 Kiel, Germany; Univ Alaska Fairbanks, Coll Sci Engn &amp; Math, Inst No Engn, Fairbanks, AK USA</t>
  </si>
  <si>
    <t>University of Kiel; University of Alaska System; University of Alaska Fairbanks</t>
  </si>
  <si>
    <t>Beyer, L (corresponding author), Univ Kiel, Inst Polar Ecol, Wischhofstr 1-3,Bldg 12, D-24148 Kiel, Germany.</t>
  </si>
  <si>
    <t>White, Dawson Martin/AAV-1685-2020</t>
  </si>
  <si>
    <t>White, Dawson Martin/0000-0002-0670-9390</t>
  </si>
  <si>
    <t>0004-9573</t>
  </si>
  <si>
    <t>AUST J SOIL RES</t>
  </si>
  <si>
    <t>Aust. J. Soil Res.</t>
  </si>
  <si>
    <t>10.1071/SR00023</t>
  </si>
  <si>
    <t>425GZ</t>
  </si>
  <si>
    <t>WOS:000168284000007</t>
  </si>
  <si>
    <t>Weimerskirch, H; Zimmermann, L; Prince, PA</t>
  </si>
  <si>
    <t>Influence of environmental variability on breeding effort in a long-lived seabird, the yellow-nosed albatross</t>
  </si>
  <si>
    <t>BEHAVIORAL ECOLOGY</t>
  </si>
  <si>
    <t>adult mass; breeding effort; chick quality; Diomedea chlororhynchos; life history; Procellariiforms; survival; yellow-nosed albatross</t>
  </si>
  <si>
    <t>PARENTAL EFFORT; BODY CONDITION; CALONECTRIS-DIOMEDEA; FEEDING FREQUENCY; NATURAL-SELECTION; CORYS SHEARWATER; PELAGIC SEABIRD; FOOD DELIVERY; STORM-PETREL; BLUE PETREL</t>
  </si>
  <si>
    <t>The provisioning parameters, breeding success, adult mass, and survival of yellow-nosed albatrosses were studied over 7 successive years at Amsterdam Island, southern Indian Ocean. We examined the ability of this long-lived seabird to adjust its breeding effort under different environmental conditions and the fitness consequences in terms of survival and quality of offspring produced. Provisioning rate and adult mass varied extensively between years, and the lo lowest and highest values were associated with sea surface temperature anomalies. When waters around the island were colder, adults were in good condition and brought large meals at short intervals, whereas warmer waters resulted in lower provisioning rates, lower adult mass, and lighter chicks at fledging. Adult survival and fledging success were not affected by sea surface temperature anomalies. Yellow-nosed albatrosses appear to be unable to adjust their breeding effort every season, and their differential breeding investment probably primarily reflects different levels of food availability. Yellow-nosed albatrosses are able to regulate their provisioning behavior according to the nutritional status of their chick only when conditions are favorable. Birds appear to invest primarily in their own future maintenance rather than in provisioning. They have a wide safety margin in body mass that limits mortality risks during good years as well as during poor years. Hoc-ever, during unfavorable seasons adults continue to provision chicks that have a poor prospect of survival to breeding, without additional survival costs for the parents. Favorable seasons therefore have a high value in terms of fitness because of the high quality of the chick produced. We suggest that understanding hew long-lived animals optimize their provisioning behavior and lifetime reproduction can only be achieved through studies encompassing several contrasted seasons.</t>
  </si>
  <si>
    <t>CNRS, CEBC, F-79360 Villiers En Bois, France; British Antarctic Survey, NERC, Cambridge CB3 0ET, England</t>
  </si>
  <si>
    <t>Centre National de la Recherche Scientifique (CNRS); UK Research &amp; Innovation (UKRI); Natural Environment Research Council (NERC); NERC British Antarctic Survey</t>
  </si>
  <si>
    <t>CNRS, CEBC, F-79360 Villiers En Bois, France.</t>
  </si>
  <si>
    <t>henriw@cebc.cnrs.fr</t>
  </si>
  <si>
    <t>Weimerskirch, Henri/K-7306-2019; Weimerskirch, Henri/F-5562-2013</t>
  </si>
  <si>
    <t>Weimerskirch, Henri/0000-0002-0457-586X;</t>
  </si>
  <si>
    <t>OXFORD UNIV PRESS INC</t>
  </si>
  <si>
    <t>CARY</t>
  </si>
  <si>
    <t>JOURNALS DEPT, 2001 EVANS RD, CARY, NC 27513 USA</t>
  </si>
  <si>
    <t>1045-2249</t>
  </si>
  <si>
    <t>1465-7279</t>
  </si>
  <si>
    <t>BEHAV ECOL</t>
  </si>
  <si>
    <t>Behav. Ecol.</t>
  </si>
  <si>
    <t>10.1093/oxfordjournals.beheco.a000374</t>
  </si>
  <si>
    <t>Behavioral Sciences; Biology; Ecology; Zoology</t>
  </si>
  <si>
    <t>Behavioral Sciences; Life Sciences &amp; Biomedicine - Other Topics; Environmental Sciences &amp; Ecology; Zoology</t>
  </si>
  <si>
    <t>387ZB</t>
  </si>
  <si>
    <t>WOS:000166152000004</t>
  </si>
  <si>
    <t>Salamanca, MH; Barría, C; Asenjo, JA; Andrews, BA</t>
  </si>
  <si>
    <t>Isolation, purification and preliminary characterization of cryophilic proteases of marine origin</t>
  </si>
  <si>
    <t>BIOSEPARATION</t>
  </si>
  <si>
    <t>trypsin-like protease; cryophilic; krill</t>
  </si>
  <si>
    <t>The isolation and preliminary characterization of a trypsin-like protease with high activity at 20 degreesC is described. This protease was isolated from Antarctic krill (Euphasia superba) by a two-step chromatography process and the use of zymogram analyses. The protease has a molecular weight of 30 kDa and a pI of 4.1. Its specific activity at 20 degreesC on BAPNA is 0.5 U/mg.</t>
  </si>
  <si>
    <t>Univ Chile, Dept Chem Engn, Ctr Biochem Engn &amp; Biotechnol, Santiago, Chile</t>
  </si>
  <si>
    <t>Andrews, Barbara/J-5070-2016; Asenjo, Juan/L-8336-2013</t>
  </si>
  <si>
    <t>Asenjo, Juan/0000-0002-3475-7664</t>
  </si>
  <si>
    <t>0923-179X</t>
  </si>
  <si>
    <t>Bioseparation</t>
  </si>
  <si>
    <t>4-5</t>
  </si>
  <si>
    <t>10.1023/A:1016383212244</t>
  </si>
  <si>
    <t>Biochemical Research Methods; Biotechnology &amp; Applied Microbiology</t>
  </si>
  <si>
    <t>574ML</t>
  </si>
  <si>
    <t>WOS:000176894100012</t>
  </si>
  <si>
    <t>Peck, LS; Meidlinger, K; Tyler, PA</t>
  </si>
  <si>
    <t>Brunton, CHC; Cocks, LRM; Long, SL</t>
  </si>
  <si>
    <t>Developmental and settlement characteristics of the Antarctic brachiopod Liothyrella uva (Broderip 1833)</t>
  </si>
  <si>
    <t>BRACHIOPODS PAST AND PRESENT</t>
  </si>
  <si>
    <t>Systematics Association Special Volume Series</t>
  </si>
  <si>
    <t>4th International Brachiopod Congress</t>
  </si>
  <si>
    <t>NAT HIST MUSEUM, LONDON, ENGLAND</t>
  </si>
  <si>
    <t>NAT HIST MUSEUM</t>
  </si>
  <si>
    <t>LARVAL DEVELOPMENT; METAMORPHOSIS; TEMPERATURE; RECRUITMENT; ARTICULATA; METABOLISM</t>
  </si>
  <si>
    <t>Larvae of the Antarctic brachiopod Liothyrella uva (Broderip, 1833) were Cultured from 18 days post-fertilisation to earliest settlement 47 days later. L. uva broods larvae and then releases them over a wide range of developmental stages from early gastrula to larvae competent to settle. Development times from release as early gastrulae to three-lobed larvae were around 33 days and to settlement were approximately 65 days. Developmental stage at release varied greatly within and between females. Development rate and settlement characteristics of larvae were also highly variable. Oil settlement mantle reversal occurred, and four bundles of mantle setae were present. This was prior to calcification of the shell. In the laboratory more larvae settled on coil-specific shell than on rock, tile, glass or plastic. Some larvae took many days to settle, whereas occasionally settlement occurred within minutes of release. In these cases larvae settled mainly around the edges of parental shells. In the field more larvae settled on live conspecifics than dead shells. Most settlement occurred in mid to late summer.</t>
  </si>
  <si>
    <t>Peck, LS (corresponding author), British Antarctic Survey, High Cross, Madingley Rd, Cambridge CB3 0ET, England.</t>
  </si>
  <si>
    <t>0-7484-0921-1</t>
  </si>
  <si>
    <t>SYST ASSOC SPEC VOL</t>
  </si>
  <si>
    <t>Ecology; Evolutionary Biology; Paleontology</t>
  </si>
  <si>
    <t>Environmental Sciences &amp; Ecology; Evolutionary Biology; Paleontology</t>
  </si>
  <si>
    <t>BU90Q</t>
  </si>
  <si>
    <t>WOS:000177351000008</t>
  </si>
  <si>
    <t>Martin, GR; Prince, PA</t>
  </si>
  <si>
    <t>Visual fields and foraging in procellariiform seabirds: Sensory aspects of dietary segregation</t>
  </si>
  <si>
    <t>BRAIN BEHAVIOR AND EVOLUTION</t>
  </si>
  <si>
    <t>vision; eye; visual fields; foraging; ecological segregation; birds; aves; procellariiformes; petrel; prion</t>
  </si>
  <si>
    <t>PRION PACHYPTILA-DESOLATA; SOUTH-GEORGIA; FEEDING ECOLOGY; ANAS-PLATYRHYNCHOS; SCHEMATIC OPTICS; DIVING DEPTHS; EYE; FOOD; MORPHOLOGY; BEHAVIOR</t>
  </si>
  <si>
    <t>Retinal visual fields were determined using an ophthalmoscopic reflex technique in two seabird species of the family Procellariidae: white-chinned petrel Procellaria aequinoctialis and antarctic prion Pachyptila desolata. The binocular fields of both species show a similar shape but they differ in size and in the position of the bill within the field. In white-chinned petrels the binocular field extends vertically through approximately 140 degrees and has a maximum width of approximately 40 degrees. The bill is placed approximately central within the field. The binocular field of the prions is approximately half this width and vertical extent, and the bill is placed close to the ventral edge. These differences in binocular field topography can be correlated with the different foraging techniques that these birds employ when seeking a similar diet within the same environment. White-chinned petrels pursue individual items both at the surface and while diving to moderate depths. Antarctic prions feed primarily by filtering items from surface waters. These differences in visual field topography mirror those found in different terrestrial bird species that primarily employ visual or tactile cues in the pursuit of food items. White-chinned petrel eyes and visual fields show features of an amphibious optical design similar to those found in penguins and albatrosses. Copyright (C) 2001 S. Karger AG. Basel.</t>
  </si>
  <si>
    <t>Martin, GR (corresponding author), Univ Birmingham, Sch Biosci, Birmingham B15 2TT, W Midlands, England.</t>
  </si>
  <si>
    <t>KARGER</t>
  </si>
  <si>
    <t>BASEL</t>
  </si>
  <si>
    <t>ALLSCHWILERSTRASSE 10, CH-4009 BASEL, SWITZERLAND</t>
  </si>
  <si>
    <t>0006-8977</t>
  </si>
  <si>
    <t>BRAIN BEHAV EVOLUT</t>
  </si>
  <si>
    <t>Brain Behav. Evol.</t>
  </si>
  <si>
    <t>10.1159/000047224</t>
  </si>
  <si>
    <t>Behavioral Sciences; Neurosciences; Zoology</t>
  </si>
  <si>
    <t>Behavioral Sciences; Neurosciences &amp; Neurology; Zoology</t>
  </si>
  <si>
    <t>437CA</t>
  </si>
  <si>
    <t>WOS:000168971600003</t>
  </si>
  <si>
    <t>Wilson, SG; Pauly, T; Meekan, MG</t>
  </si>
  <si>
    <t>Daytime surface swarming by Pseudeuphausia latifrons (Crustacea, Euphausiacea) off Ningaloo reef, Western Australia</t>
  </si>
  <si>
    <t>BULLETIN OF MARINE SCIENCE</t>
  </si>
  <si>
    <t>MEGANYCTIPHANES-NORVEGICA; POPULATION-STRUCTURE; FUNDY; BAY; JAPAN</t>
  </si>
  <si>
    <t>Univ Western Australia, Dept Zool, Nedlands, WA 6009, Australia; Australian Inst Marine Sci, Dampier, WA 6713, Australia; Australian Antarctic Div, Kingston, Tas 7050, Australia</t>
  </si>
  <si>
    <t>University of Western Australia; Australian Institute of Marine Science; Australian Antarctic Division</t>
  </si>
  <si>
    <t>Wilson, SG (corresponding author), Univ Western Australia, Dept Zool, 35 Mounts Bay Rd, Nedlands, WA 6009, Australia.</t>
  </si>
  <si>
    <t>Meekan, Mark/0000-0002-3067-9427</t>
  </si>
  <si>
    <t>ROSENSTIEL SCH MAR ATMOS SCI</t>
  </si>
  <si>
    <t>MIAMI</t>
  </si>
  <si>
    <t>4600 RICKENBACKER CAUSEWAY, MIAMI, FL 33149 USA</t>
  </si>
  <si>
    <t>0007-4977</t>
  </si>
  <si>
    <t>B MAR SCI</t>
  </si>
  <si>
    <t>Bull. Mar. Sci.</t>
  </si>
  <si>
    <t>401QR</t>
  </si>
  <si>
    <t>WOS:000166940200016</t>
  </si>
  <si>
    <t>Arnould, JPY; Hindell, MA</t>
  </si>
  <si>
    <t>Dive behaviour, foraging locations, and maternal-attendance patterns of Australian fur seals (Arctocephalus pusillus doriferus)</t>
  </si>
  <si>
    <t>NEW-ZEALAND; DIVING BEHAVIOR; ELEPHANT SEALS; FEMALE; LIONS; TASMANIA; FORSTERI; CYCLES; DIET</t>
  </si>
  <si>
    <t>The dive behaviour, foraging locations, and colony-attendance patterns of female Australian fur seals (Arctocephalus pusillus doriferus) from Kanowna Island (39 degrees 10'S, 146 degrees 18'E) in Bass Strait, southeastern Australia, were determined throughout lactation during 1997-1999. Foraging-trip durations increased as lactation progressed, being shortest in summer (3.71 +/- 0.24 days; mean +/- 1 SE) and longest in winter (6.77 +/- 0.57 days, P &lt; 0.05), but maternal-attendance periods did not differ in duration (1.70 0.10 days, P &gt; 0.5). Individual mean attendance periods and trip durations were positively correlated (r(2) = 0.21, P &lt; 0.005). Diving commenced shortly after seals left the colony (2.6 0.4 h), was continuous for long periods (up to 36 h), occurred mostly during daylight hours, and lacked regular diel variation in depth. The majority of dives (78%) were typically U-shaped and reached depths corresponding to the prevailing depths in Bass Strait (65-85 m), indicating that these animals forage mostly on the benthos of the shallow continental shelf in this region. Such behaviour is unusual for fur seals but is reminiscent of that of some sea lion species. Mean dive durations varied between 2.0 and 3.7 min (maximum 8.9 min) and the theoretical aerobic dive limit (3.91-4.26 min) was exceeded on 17.3% of dives. Dive frequency (8.3 +/- 0.6/h) and the proportion of time at sea spent diving (40.7 +/- 2.1%) were weakly negatively related to the duration of the foraging trip (r(2) = 0.07, P &lt; 0.004, and r(2) = 0.13, P &lt; 0.0001, respectively). Data from at-sea locations showed that lactating females forage almost exclusively within Bass Strait during all seasons.</t>
  </si>
  <si>
    <t>Macquarie Univ, Grad Sch Environm, Marine Mammal Res Grp, Sydney, NSW 2109, Australia; Univ Tasmania, Sch Zool, Antarctic Wildlife Res Unit, Hobart, Tas 7001, Australia</t>
  </si>
  <si>
    <t>Macquarie University; University of Tasmania</t>
  </si>
  <si>
    <t>Arnould, JPY (corresponding author), Macquarie Univ, Grad Sch Environm, Marine Mammal Res Grp, Sydney, NSW 2109, Australia.</t>
  </si>
  <si>
    <t>10.1139/cjz-79-1-35</t>
  </si>
  <si>
    <t>399EJ</t>
  </si>
  <si>
    <t>WOS:000166798100005</t>
  </si>
  <si>
    <t>Trathan, PN; Watkins, JL; Murray, AWA; Brierley, AS; Everson, I; Goss, C; Priddle, J; Reid, K; Ward, P</t>
  </si>
  <si>
    <t>The CCAMLR-2000 Krill Synoptic Survey: A description of the rationale and design</t>
  </si>
  <si>
    <t>CCAMLR SCIENCE</t>
  </si>
  <si>
    <t>krill; synoptic survey; design; Area 48; 2000; CCAMLR</t>
  </si>
  <si>
    <t>SOUTH GEORGIA</t>
  </si>
  <si>
    <t>The design of the CCAMLR-2000 Krill Synoptic Survey (CCAMLR-2000 Survey) is described. The primary objective of the survey was to improve estimates of the pre-exploitation biomass of krill which are used in models to estimate sustainable yield in Area 48. The survey design includes two large-scale oceanic strata: one in the southwest Atlantic located in the Scotia Sea, and the other to the north of the Antarctic Peninsula (CCAMLR Statistical Subareas 48.1, 48.2, 48.3 and 48.4). Within these large-scale strata, four mesoscale strata were included in the survey design; these were located close to the South Sandwich Islands, north of South Georgia, north of the South Orkney Islands and north of the South Shetland Islands. The rationale underlying the selection of the strata and survey boundaries is described. The methods used for selecting the location of each survey transect are explained and the planned cruise tracks for each of the four vessels participating in the survey are shown. Details are also described for adaptively modifying the survey during its execution. This includes information how net haul stations should be selected and how transects should be modified if the planned survey tracks cannot be completed. The survey took place in January-February 2000 and involved ships from Japan, Russia, UK and the USA. Scientists from many more CCAMLR Member States and the International Whaling Commission (IWC) took part. The survey is by far the biggest single exercise ever carried out by Members in support of the Convention. Full analysis of the results of the CCAMLR-2000 Survey will take several years and will result in a significant increase in the knowledge of krill length frequencies, biomass and distribution in the area studied.</t>
  </si>
  <si>
    <t>British Antarctic Survey, NERC, Cambridge CB3 0ET, England; SW Fisheries Sci Ctr, La Jolla, CA 92038 USA; Natl Res Inst Far Sea Fisheries, Shimizu, Shizuoka 4248633, Japan; AtlantNIRO, Kaliningrad 236000, Russia; Math Inst, Res Unit Wildlife Populat Assessment, St Andrews KY16 9SS, Fife, Scotland; Pukyong Natl Univ, Dept Marine Biol, Pusan, South Korea; Australian Antarctic Div, Kingston, Tas 7050, Australia</t>
  </si>
  <si>
    <t>UK Research &amp; Innovation (UKRI); Natural Environment Research Council (NERC); NERC British Antarctic Survey; National Oceanic Atmospheric Admin (NOAA) - USA; Japan Fisheries Research &amp; Education Agency (FRA); Research lnstitute of Fisheries &amp; Oceanography; University of St Andrews; Pukyong National University; Australian Antarctic Division</t>
  </si>
  <si>
    <t>Trathan, PN (corresponding author), British Antarctic Survey, NERC, High Cross,Madingley Rd, Cambridge CB3 0ET, England.</t>
  </si>
  <si>
    <t>Kawaguchi, So/N-1795-2017; Brierley, Andrew/G-8019-2011</t>
  </si>
  <si>
    <t>Kawaguchi, So/0000-0002-2042-5095; Brierley, Andrew/0000-0002-6438-6892</t>
  </si>
  <si>
    <t>C C A M L R TI</t>
  </si>
  <si>
    <t>NORTH HOBART</t>
  </si>
  <si>
    <t>PO BOX 213, NORTH HOBART, TAS 7002, AUSTRALIA</t>
  </si>
  <si>
    <t>1023-4063</t>
  </si>
  <si>
    <t>CCAMLR SCI</t>
  </si>
  <si>
    <t>CCAMLR Sci.</t>
  </si>
  <si>
    <t>494GZ</t>
  </si>
  <si>
    <t>WOS:000172274600001</t>
  </si>
  <si>
    <t>Kawaguchi, S; Segawa, K</t>
  </si>
  <si>
    <t>Analysis of krill trawling positions north of the South Shetland Islands (Antarctic Peninsula area), 1980/81-1999/2000</t>
  </si>
  <si>
    <t>krill fishery; trawling positions; Antarctic krill; salps; sea-ice; bathymetry; South Shetland Islands; CCAMLR</t>
  </si>
  <si>
    <t>EUPHAUSIA-SUPERBA; VARIABILITY; RECRUITMENT</t>
  </si>
  <si>
    <t>Inter- and intra-annual variability of commercial krill trawling positions for the 1980/81 to 1999/2000 seasons in the area north of the South Shetland Islands were analysed in relation to biological and environmental factors. Commercial fishing operations concentrated on the outer shelf in the early 1980s, along the shelf slope in the mid to late 1980s, and from the shelf across to the outer shelf in the early to late 1990s. Intra-annually, trawling positions generally started from the outer shelf and proceeded towards the shelf later in the season. Trawling positions seemed to be primarily governed by the distribution of larger mature krill, especially at the beginning of fishing operations each season. In summer, biological factors that affect product quality, such as salp abundance and the proportion of green krill, also seemed to have an increasing effect on trawling positions. Ice conditions for recent fishing periods were also demonstrated to have an effect.</t>
  </si>
  <si>
    <t>Natl Res Inst Far Seas Fisheries, Shimizu, Shizuoka 4248633, Japan</t>
  </si>
  <si>
    <t>Japan Fisheries Research &amp; Education Agency (FRA)</t>
  </si>
  <si>
    <t>Kawaguchi, S (corresponding author), Natl Res Inst Far Seas Fisheries, 5-7-1 Orido, Shimizu, Shizuoka 4248633, Japan.</t>
  </si>
  <si>
    <t>Kawaguchi, So/N-1795-2017</t>
  </si>
  <si>
    <t>Kawaguchi, So/0000-0002-2042-5095</t>
  </si>
  <si>
    <t>WOS:000172274600002</t>
  </si>
  <si>
    <t>Constable, A</t>
  </si>
  <si>
    <t>The ecosystem approach to managing fisheries: Achieving conservation objectives for predators of fished species</t>
  </si>
  <si>
    <t>fisheries; ecosystem management; food webs; monitoring; management procedures; productivity; endangered species; management strategy evaluation; CCAMLR</t>
  </si>
  <si>
    <t>MULTISPECIES FISHERIES; ECOLOGICAL-SOCIETY; MARINE ECOSYSTEM; LIVING RESOURCES; FOOD WEBS; MANAGEMENT; CONSEQUENCES; PRINCIPLES; AMERICA; CCAMLR</t>
  </si>
  <si>
    <t>Managing fisheries to achieve ecosystem objectives is in its infancy. A general approach is proposed for maintaining ecological relationships and providing for the recovery of depleted populations in food webs supporting fisheries. This paper addresses the following general questions for applying the ecosystem approach to managing fisheries: (i) how might fisheries impact incidentally on an ecosystem, (ii) what should be the conservation objectives for predators of fished species, and (iii) what approaches could be considered for achieving the conservation objectives? The approach proposed here takes account of uncertainties in knowledge of the structure of ecosystems. Estimates of predator production arising from the consumption of fished species (encapsulated in proposed indices P and W) may provide useful indicators for management purposes because they integrate across a range of 'ecosystem' effects and, as formulated here, can also be related directly to the effects of fishing. These features are currently unavailable in ecosystem approaches to managing fisheries, which do not weight input data for assessments, such as per-capita breeding success, according to the relative influence of fished species on those estimates. The paper describes the steps required to establish management procedures based on these indices.</t>
  </si>
  <si>
    <t>Constable, A (corresponding author), Australian Antarctic Div, Channel Highway, Kingston, Tas 7050, Australia.</t>
  </si>
  <si>
    <t>WOS:000172274600003</t>
  </si>
  <si>
    <t>Kirkwood, GP; Constable, AJ</t>
  </si>
  <si>
    <t>Integration of CPUE data into assessments using the Generalised Yield Model</t>
  </si>
  <si>
    <t>CPUE; Generalised Yield Model; importance sampling; stock assessment; CCAMLR</t>
  </si>
  <si>
    <t>IMPORTANCE RESAMPLING ALGORITHM; STOCK ASSESSMENT</t>
  </si>
  <si>
    <t>For the last three years, CCAMLR's Working Group on Fish Stock Assessment (WG-FSA) has accorded high priority to the development of methods of integrating different indicators of stock status into assessments using the Generalised Yield Model (GYM). In this paper, we propose a method, based on the use of importance sampling, for incorporating information on trends in standardised CPUEs into GYM assessments. The use of the method is illustrated using data for Patagonian toothfish (Dissostichus eleginoides) in Subarea 48.3. The method requires only very small adjustments to the computer program implementing the GYM assessments.</t>
  </si>
  <si>
    <t>Univ London Imperial Coll Sci Technol &amp; Med, Renewable Resources Assessment Grp, Dept Environm Sci &amp; Technol, London SW7 2BP, England; Australian Antarctic Div, Kingston, Tas 7050, Australia</t>
  </si>
  <si>
    <t>Imperial College London; Australian Antarctic Division</t>
  </si>
  <si>
    <t>Kirkwood, GP (corresponding author), Univ London Imperial Coll Sci Technol &amp; Med, Renewable Resources Assessment Grp, Dept Environm Sci &amp; Technol, RSM Bldg,Prince Consort Rd, London SW7 2BP, England.</t>
  </si>
  <si>
    <t>WOS:000172274600004</t>
  </si>
  <si>
    <t>Ashford, JR; Wischniowski, S; Jones, C; Bobko, S; Everson, I</t>
  </si>
  <si>
    <t>A comparison between otoliths and scales for use in estimating the age of Dissostichus eleginoides from South Georgia</t>
  </si>
  <si>
    <t>Southern Ocean; Patagonian toothfish; Dissostichus eleginoides; age; estimation; otoliths; scales; bias and precision; CCAMLR</t>
  </si>
  <si>
    <t>Age composition is fundamental to understanding the population dynamics and productivity of a fish stock. The use of scales to estimate age can result in large errors in age data for long-lived species, usually due to compression of scale circuli with age. Patagonian toothfish (Dissostichus eleginoides) is considered to be a long-lived species whose age has been estimated using both scales and otoliths. We estimated the age of D. eleginoides caught off South Georgia using otoliths and scales. For scales, we made impressions on acetate slides; for otoliths, we used transverse sections prepared by baking and grinding the posterior and anterior sides. Using ANOVA, we compared data obtained from the two structures to test the hypothesis that otoliths and scales give the same age estimates, and compared the precision of age estimation for both structures and between readers. Ages estimated using scales were significantly less than those estimated using otoliths. For scales, bias occurred for both readers between readings; for otoliths, only one reader was biased. Residual variances indicated one reader was relatively more precise than the other in estimating age using otoliths, but less precise using scales. This reflected the comparative experience of the two readers in estimating the age of D. eleginoides using otoliths and scales.</t>
  </si>
  <si>
    <t>Old Dominion Univ, Ctr Quantitat Fisheries Ecol, Norfolk, VA 23529 USA; British Antarctic Survey, NERC, Cambridge CB3 0ET, England</t>
  </si>
  <si>
    <t>Old Dominion University; UK Research &amp; Innovation (UKRI); Natural Environment Research Council (NERC); NERC British Antarctic Survey</t>
  </si>
  <si>
    <t>Ashford, JR (corresponding author), Old Dominion Univ, Ctr Quantitat Fisheries Ecol, 4608 Hampton Bvd, Norfolk, VA 23529 USA.</t>
  </si>
  <si>
    <t>WOS:000172274600005</t>
  </si>
  <si>
    <t>Everson, I; North, AW; Paul, A; Cooper, R; McWilliam, NC; Kock, KH</t>
  </si>
  <si>
    <t>Spawning locations of mackerel icefish at South Georgia</t>
  </si>
  <si>
    <t>mackerel icefish; C. gunnari; spawning; South Georgia; CCAMLR</t>
  </si>
  <si>
    <t>FISH; ABUNDANCE</t>
  </si>
  <si>
    <t>Historical information on the distribution of spawning and larval mackerel icefish (Champsocephalus gunnari) within CCAMLR Subarea 48.3 (South Georgia and Shag Rocks) is assessed. This is considered alongside new data from commercial fisheries and research surveys. It is concluded that there is strong evidence of inshore spawning at South Georgia during April within and close to the bays on the north side of the island. Some spawning almost certainly occurs over much of the island shelf, although this appears to be at a very much lower intensity than inshore. There is some evidence of spawning at Shag Rocks. There are also indications of a possible second spawning season in January, although the evidence is weak. Concentrations of larval icefish within Cumberland Bay are an order of magnitude higher than in adjacent coastal waters and their density declines exponentially offshore. All this evidence indicates that the most important spawning locations are within the bays.</t>
  </si>
  <si>
    <t>British Antarctic Survey, NERC, Cambridge CB3 0ET, England; Bundesforsch Anstalt Fischerei, Inst Seefischerei, D-22767 Hamburg, Germany</t>
  </si>
  <si>
    <t>Everson, I (corresponding author), British Antarctic Survey, NERC, High Cross,Madingley Rd, Cambridge CB3 0ET, England.</t>
  </si>
  <si>
    <t>iev@pcmail.nerc-bas.ac.uk</t>
  </si>
  <si>
    <t>WOS:000172274600007</t>
  </si>
  <si>
    <t>Everson, I; Kock, KH</t>
  </si>
  <si>
    <t>Variations in condition indices of mackerel icefish at South Georgia from 1972 to 1997</t>
  </si>
  <si>
    <t>mackerel icefish; C. gunnari; condition; krill; ecosystem interaction; CCAMLR</t>
  </si>
  <si>
    <t>Mackerel icefish (Champsocephalus gunnari) are widespread on the South Georgia shelf, Antarctica, and have been fished commercially since the early 1970s. They are known to feed predominantly on krill. An index of condition which uses the ratio of the measured total mass to the estimated mass is shown to provide a good indicator of local krill density. The index is likely to be little affected by the reproductive cycle unless there is high krill availability during the months around the spawning time, and even then the effect is much less than the highest observed values, The condition index responds rapidly to changes in krill density and therefore can provide indications of short-term variations in krill availability. Condition index provides a useful proxy for krill density and is likely to be of considerable value in interpreting the results from ecosystem assessments such as that in progress under the auspices of CCAMLR.</t>
  </si>
  <si>
    <t>British Antarctic Survey, NERC, Cambridge CB3 0ET, England; Bundesforsch Anstalt Fischerei, Inst Seefischerei, D-2267 Hamburg, Germany</t>
  </si>
  <si>
    <t>WOS:000172274600008</t>
  </si>
  <si>
    <t>Blank, O; Retamal, P; Abalos, P; Torres, D</t>
  </si>
  <si>
    <t>Additional data on anti-Brucella antibodies in Arctocephalus gazella from Cape Shirreff, Livingston Island, Antarctica</t>
  </si>
  <si>
    <t>pathology; Brucella; pinnipedia; Antarctic fur seal; Arctocephalus gazella; CEMP site no. 2; Antarctica; CCAMLR</t>
  </si>
  <si>
    <t>MARINE MAMMALS; BRUCELLA; SEAL; INFECTION</t>
  </si>
  <si>
    <t>The first instance of anti-Brucella antibodies in the Southern Hemisphere was recorded in two pinniped species from Antarctica: Antarctic fur seal (Arctocephalus gazella) and Weddell seal (Leptonychotes weddellii). Taking into account these first records, this paper describes additional data on Brucella antibodies in A. gazella obtained at Cape Shirreff, Livingston Island, Antarctica. Eighty-six A. gazella body fluid samples were collected from 77 live animals and nine from bead animals. Body fluid samples (blood, pleural fluid or pericardic fluid) were tested using the Rose Bengal (RB) test, the Competitive Enzymoimmunoassay (c-ELISA) test and the Competitive Enzymoimmunoassay 'COMPELISA (R)' test. Antibodies against Brucella spp. were detected in one sample with the RB test, and in five of the 86 samples (5.8%) using the c-ELISA test. These results present serological evidence of Brucella infection in A. gazella. We suggest the utility of extra-vascular fluid for this serological research. We recognise the c-ELISA test as the best option in this regard, and suggest that Brucella spp. has an extended distribution and is probably found worldwide in marine mammals. We highlight the importance of evaluating in the CCAMLR Working Group on Ecosystem Monitoring and Management (WG-EMM) the incidence of infectious diseases, since diseases like brucellosis may produce reproductive failure in predatory species. However, it is not possible to relate evidence of Brucella infection to any anthropogenic event in Antarctica since the bacteria have not yet been isolated and no studies on this subject have been conducted there previously.</t>
  </si>
  <si>
    <t>Inst Antartico Chileno, Dept Cientif, Punta Arenas, Chile; Univ Chile, Dept Med Prevent Anim, Fac Ciencias Vet &amp; Pecuarias, Santiago, Chile; Inst Antartico Chileno, Dept Cientif, Santiago, Chile</t>
  </si>
  <si>
    <t>Inst Antartico Chileno, Dept Cientif, Romula Correa 375, Punta Arenas, Chile.</t>
  </si>
  <si>
    <t>oblankh@entelchile.net</t>
  </si>
  <si>
    <t>Retamal, Patricio/G-3054-2013</t>
  </si>
  <si>
    <t>Retamal, Patricio/0000-0001-8597-9550</t>
  </si>
  <si>
    <t>WOS:000172274600010</t>
  </si>
  <si>
    <t>Reid, K; Brierley, AS</t>
  </si>
  <si>
    <t>The use of predator-derived krill length-frequency distributions to calculate krill target strength</t>
  </si>
  <si>
    <t>krill; target strength; length frequency; predators; diet; resource management; ecosystem; CCAMLR</t>
  </si>
  <si>
    <t>ANTARCTIC KRILL; EUPHAUSIA-SUPERBA; SOUTH GEORGIA; SEASON</t>
  </si>
  <si>
    <t>The relationship between krill abundance and predator performance is fundamental to an ecosystem-based approach to resource management. We propose a method using krill sampled from the diet of predators to provide a length-frequency distribution of krill at times when it is possible to run automated shipboard acoustic systems but not to conduct scientific netting, i.e during logistic/resupply operations, This will allow a robust estimate of krill abundance to be calculated from acoustic data. Changes in the length-frequency distribution of krill over a period of a few weeks produced a 10% difference in TS, whereas simultaneous samples from predators and nets produced only a 1% difference, illustrating the need for simultaneous length-frequency data. By integrating data from land-based predators directly with automated on-board data collection systems it will be possible to gain important estimates of krill biomass at times of the season hitherto unavailable from shipboard scientific surveys.</t>
  </si>
  <si>
    <t>Brierley, Andrew/G-8019-2011</t>
  </si>
  <si>
    <t>Brierley, Andrew/0000-0002-6438-6892</t>
  </si>
  <si>
    <t>WOS:000172274600011</t>
  </si>
  <si>
    <t>Nevitt, GA</t>
  </si>
  <si>
    <t>MarchlewskaKoj, A; Lepri, JJ; MullerSchwarze, D</t>
  </si>
  <si>
    <t>Mechanisms of olfactory foraging by Antarctic procelliiform seabirds</t>
  </si>
  <si>
    <t>CHEMICAL SIGNALS IN VERTEBRATES 9</t>
  </si>
  <si>
    <t>CHEMICAL SIGNALS IN VERTEBRATES</t>
  </si>
  <si>
    <t>9th International Symposium on Chemical Signals in Vertebrates</t>
  </si>
  <si>
    <t>JUL 25-29, 2000</t>
  </si>
  <si>
    <t>JAGIELLONIAN UNIV, KRAKOW, POLAND</t>
  </si>
  <si>
    <t>JAGIELLONIAN UNIV</t>
  </si>
  <si>
    <t>SOUTH GEORGIA; DIMETHYL SULFIDE; ECOLOGY; OCEAN; SEA</t>
  </si>
  <si>
    <t>Univ Calif Davis, Sect Neurobiol Physiol &amp; Behav, Dept Biol Sci, Davis, CA 95616 USA</t>
  </si>
  <si>
    <t>University of California System; University of California Davis</t>
  </si>
  <si>
    <t>Nevitt, GA (corresponding author), Univ Calif Davis, Sect Neurobiol Physiol &amp; Behav, Dept Biol Sci, 1 Shields Ave, Davis, CA 95616 USA.</t>
  </si>
  <si>
    <t>KLUWER ACADEMIC/PLENUM PUBL</t>
  </si>
  <si>
    <t>0-306-46682-1</t>
  </si>
  <si>
    <t>CHEM SIGNAL</t>
  </si>
  <si>
    <t>Biochemistry &amp; Molecular Biology; Biology; Zoology</t>
  </si>
  <si>
    <t>Biochemistry &amp; Molecular Biology; Life Sciences &amp; Biomedicine - Other Topics; Zoology</t>
  </si>
  <si>
    <t>BT91X</t>
  </si>
  <si>
    <t>WOS:000174432200004</t>
  </si>
  <si>
    <t>Liu, YH; Liu, RY; Yang, SF; He, LS; Fraser, BJ</t>
  </si>
  <si>
    <t>Propagation and origin of Pc5 frequency range pulsation in the cusp latitude</t>
  </si>
  <si>
    <t>CHINESE JOURNAL OF GEOPHYSICS-CHINESE EDITION</t>
  </si>
  <si>
    <t>cusp latitude; Pc5 pulsation; local magnetic noon; propagation; Antarctic Zhongshan station</t>
  </si>
  <si>
    <t>MAGNETIC PULSATIONS; SATELLITE</t>
  </si>
  <si>
    <t>Two induction magnetometers have been installed respectively at the Chinese Zhongshan station and the Australia Davis stations in the Antarctica. We use the cross-spectral technique to analyze the data of the two induction magnetometers recorded, in March 1997 and June, September, December 1996. Our purpose is to investigate Pc5 frequency range pulsation (150-600 s) occurrence and propagation in the cusp latitude. The results are summarized as follows: At the Zhongshan-Davis station, the Pc5 pulsation occurred over a wide time range, but more frequently at pre local magnetic noon and pre local magnetic midnight. It had no significant seasonal variations in the amplitude, occurrence and propagation. The amplitude had a small peak at pre local magnetic noon and large value sometimes at pre local magnetic midnight. In daytime, reversal at local magnetic noon, the Pc5 pulsation propagated westward in morning and eastward in afternoon. In nighttime, reversal at 20: 00MLT, the Pc5 pulsation propagated westward before it and eastward after it. Near dusk time, the Pc5 pulsation propagated irregularly. These characteristics indicate that the Pc5 pulsation has different sources at different local magnetic times.</t>
  </si>
  <si>
    <t>Polar Res Inst China, Shanghai 200129, Peoples R China; Chinese Acad Sci, Inst Geol &amp; Geophys, Beijing 100101, Peoples R China; Univ Newcastle, Newcastle, NSW 2308, Australia</t>
  </si>
  <si>
    <t>Polar Research Institute of China; Chinese Academy of Sciences; Institute of Geology &amp; Geophysics, CAS; University of Newcastle</t>
  </si>
  <si>
    <t>Liu, YH (corresponding author), Polar Res Inst China, Shanghai 200129, Peoples R China.</t>
  </si>
  <si>
    <t>0001-5733</t>
  </si>
  <si>
    <t>CHINESE J GEOPHYS-CH</t>
  </si>
  <si>
    <t>Chinese J. Geophys.-Chinese Ed.</t>
  </si>
  <si>
    <t>517FK</t>
  </si>
  <si>
    <t>WOS:000173600300002</t>
  </si>
  <si>
    <t>A study of the Pc3 pulsation in the cusp latitudes by short based-line</t>
  </si>
  <si>
    <t>cusp latitude; Pc3 pulsation; short based-line; electric conductivity</t>
  </si>
  <si>
    <t>Both the Antarctic Zhongshan station and the Davis station (L-14) are located around the cusp region at local magnetic noon. Two induction magnetometers have been installed respectively at the two stations. We use the cross-spectral technique to analyze the data of the two induction magnetometers recorded, in June, September, December 1996 and March 1997. The purpose is to investigate the Pc3 pulsation occurrence and propagation characteristics in the cusp latitudes. The results are summarized as follows. At the Zhongshan-Davis station, the Pc3 pulsation occurred mainly around the local noon/local magnetic noon. In daytime, the pulsation had a seasonal variation in amplitude, occurrence and temporal range. All of them were smallest in June. The pulsation propagating direction was mainly westward in daytime. It is suggested that the different sources of the pulsation and the ionospheric electric conductivity are probably responsible for these characteristics.</t>
  </si>
  <si>
    <t>WOS:000173600300003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</si>
</sst>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74</v>
      </c>
      <c r="U2" t="s">
        <v>74</v>
      </c>
      <c r="V2" t="s">
        <v>74</v>
      </c>
      <c r="W2" t="s">
        <v>74</v>
      </c>
      <c r="X2" t="s">
        <v>74</v>
      </c>
      <c r="Y2" t="s">
        <v>74</v>
      </c>
      <c r="Z2" t="s">
        <v>74</v>
      </c>
      <c r="AA2" t="s">
        <v>74</v>
      </c>
      <c r="AB2" t="s">
        <v>74</v>
      </c>
      <c r="AC2" t="s">
        <v>74</v>
      </c>
      <c r="AD2" t="s">
        <v>74</v>
      </c>
      <c r="AE2" t="s">
        <v>74</v>
      </c>
      <c r="AF2" t="s">
        <v>74</v>
      </c>
      <c r="AG2">
        <v>0</v>
      </c>
      <c r="AH2">
        <v>0</v>
      </c>
      <c r="AI2">
        <v>0</v>
      </c>
      <c r="AJ2">
        <v>0</v>
      </c>
      <c r="AK2">
        <v>0</v>
      </c>
      <c r="AL2" t="s">
        <v>79</v>
      </c>
      <c r="AM2" t="s">
        <v>80</v>
      </c>
      <c r="AN2" t="s">
        <v>81</v>
      </c>
      <c r="AO2" t="s">
        <v>82</v>
      </c>
      <c r="AP2" t="s">
        <v>83</v>
      </c>
      <c r="AQ2" t="s">
        <v>74</v>
      </c>
      <c r="AR2" t="s">
        <v>84</v>
      </c>
      <c r="AS2" t="s">
        <v>85</v>
      </c>
      <c r="AT2" t="s">
        <v>86</v>
      </c>
      <c r="AU2">
        <v>2001</v>
      </c>
      <c r="AV2">
        <v>42</v>
      </c>
      <c r="AW2">
        <v>12</v>
      </c>
      <c r="AX2" t="s">
        <v>74</v>
      </c>
      <c r="AY2" t="s">
        <v>74</v>
      </c>
      <c r="AZ2" t="s">
        <v>74</v>
      </c>
      <c r="BA2" t="s">
        <v>74</v>
      </c>
      <c r="BB2">
        <v>1283</v>
      </c>
      <c r="BC2">
        <v>1283</v>
      </c>
      <c r="BD2" t="s">
        <v>74</v>
      </c>
      <c r="BE2" t="s">
        <v>74</v>
      </c>
      <c r="BF2" t="s">
        <v>74</v>
      </c>
      <c r="BG2" t="s">
        <v>74</v>
      </c>
      <c r="BH2" t="s">
        <v>74</v>
      </c>
      <c r="BI2">
        <v>1</v>
      </c>
      <c r="BJ2" t="s">
        <v>87</v>
      </c>
      <c r="BK2" t="s">
        <v>88</v>
      </c>
      <c r="BL2" t="s">
        <v>89</v>
      </c>
      <c r="BM2" t="s">
        <v>90</v>
      </c>
      <c r="BN2" t="s">
        <v>74</v>
      </c>
      <c r="BO2" t="s">
        <v>74</v>
      </c>
      <c r="BP2" t="s">
        <v>74</v>
      </c>
      <c r="BQ2" t="s">
        <v>74</v>
      </c>
      <c r="BR2" t="s">
        <v>91</v>
      </c>
      <c r="BS2" t="s">
        <v>92</v>
      </c>
      <c r="BT2" t="str">
        <f>HYPERLINK("https%3A%2F%2Fwww.webofscience.com%2Fwos%2Fwoscc%2Ffull-record%2FWOS:000173052200013","View Full Record in Web of Science")</f>
        <v>View Full Record in Web of Science</v>
      </c>
    </row>
    <row r="3" spans="1:72" x14ac:dyDescent="0.15">
      <c r="A3" t="s">
        <v>72</v>
      </c>
      <c r="B3" t="s">
        <v>93</v>
      </c>
      <c r="C3" t="s">
        <v>74</v>
      </c>
      <c r="D3" t="s">
        <v>74</v>
      </c>
      <c r="E3" t="s">
        <v>74</v>
      </c>
      <c r="F3" t="s">
        <v>93</v>
      </c>
      <c r="G3" t="s">
        <v>74</v>
      </c>
      <c r="H3" t="s">
        <v>74</v>
      </c>
      <c r="I3" t="s">
        <v>94</v>
      </c>
      <c r="J3" t="s">
        <v>95</v>
      </c>
      <c r="K3" t="s">
        <v>74</v>
      </c>
      <c r="L3" t="s">
        <v>74</v>
      </c>
      <c r="M3" t="s">
        <v>77</v>
      </c>
      <c r="N3" t="s">
        <v>96</v>
      </c>
      <c r="O3" t="s">
        <v>74</v>
      </c>
      <c r="P3" t="s">
        <v>74</v>
      </c>
      <c r="Q3" t="s">
        <v>74</v>
      </c>
      <c r="R3" t="s">
        <v>74</v>
      </c>
      <c r="S3" t="s">
        <v>74</v>
      </c>
      <c r="T3" t="s">
        <v>97</v>
      </c>
      <c r="U3" t="s">
        <v>98</v>
      </c>
      <c r="V3" t="s">
        <v>99</v>
      </c>
      <c r="W3" t="s">
        <v>100</v>
      </c>
      <c r="X3" t="s">
        <v>101</v>
      </c>
      <c r="Y3" t="s">
        <v>102</v>
      </c>
      <c r="Z3" t="s">
        <v>103</v>
      </c>
      <c r="AA3" t="s">
        <v>74</v>
      </c>
      <c r="AB3" t="s">
        <v>74</v>
      </c>
      <c r="AC3" t="s">
        <v>74</v>
      </c>
      <c r="AD3" t="s">
        <v>74</v>
      </c>
      <c r="AE3" t="s">
        <v>74</v>
      </c>
      <c r="AF3" t="s">
        <v>74</v>
      </c>
      <c r="AG3">
        <v>104</v>
      </c>
      <c r="AH3">
        <v>113</v>
      </c>
      <c r="AI3">
        <v>119</v>
      </c>
      <c r="AJ3">
        <v>0</v>
      </c>
      <c r="AK3">
        <v>21</v>
      </c>
      <c r="AL3" t="s">
        <v>104</v>
      </c>
      <c r="AM3" t="s">
        <v>105</v>
      </c>
      <c r="AN3" t="s">
        <v>106</v>
      </c>
      <c r="AO3" t="s">
        <v>107</v>
      </c>
      <c r="AP3" t="s">
        <v>108</v>
      </c>
      <c r="AQ3" t="s">
        <v>74</v>
      </c>
      <c r="AR3" t="s">
        <v>109</v>
      </c>
      <c r="AS3" t="s">
        <v>110</v>
      </c>
      <c r="AT3" t="s">
        <v>86</v>
      </c>
      <c r="AU3">
        <v>2001</v>
      </c>
      <c r="AV3">
        <v>44</v>
      </c>
      <c r="AW3">
        <v>4</v>
      </c>
      <c r="AX3" t="s">
        <v>74</v>
      </c>
      <c r="AY3" t="s">
        <v>74</v>
      </c>
      <c r="AZ3" t="s">
        <v>74</v>
      </c>
      <c r="BA3" t="s">
        <v>74</v>
      </c>
      <c r="BB3">
        <v>535</v>
      </c>
      <c r="BC3">
        <v>553</v>
      </c>
      <c r="BD3" t="s">
        <v>74</v>
      </c>
      <c r="BE3" t="s">
        <v>111</v>
      </c>
      <c r="BF3" t="str">
        <f>HYPERLINK("http://dx.doi.org/10.1080/00288306.2001.9514954","http://dx.doi.org/10.1080/00288306.2001.9514954")</f>
        <v>http://dx.doi.org/10.1080/00288306.2001.9514954</v>
      </c>
      <c r="BG3" t="s">
        <v>74</v>
      </c>
      <c r="BH3" t="s">
        <v>74</v>
      </c>
      <c r="BI3">
        <v>19</v>
      </c>
      <c r="BJ3" t="s">
        <v>112</v>
      </c>
      <c r="BK3" t="s">
        <v>88</v>
      </c>
      <c r="BL3" t="s">
        <v>113</v>
      </c>
      <c r="BM3" t="s">
        <v>114</v>
      </c>
      <c r="BN3" t="s">
        <v>74</v>
      </c>
      <c r="BO3" t="s">
        <v>115</v>
      </c>
      <c r="BP3" t="s">
        <v>74</v>
      </c>
      <c r="BQ3" t="s">
        <v>74</v>
      </c>
      <c r="BR3" t="s">
        <v>91</v>
      </c>
      <c r="BS3" t="s">
        <v>116</v>
      </c>
      <c r="BT3" t="str">
        <f>HYPERLINK("https%3A%2F%2Fwww.webofscience.com%2Fwos%2Fwoscc%2Ffull-record%2FWOS:000173387900005","View Full Record in Web of Science")</f>
        <v>View Full Record in Web of Science</v>
      </c>
    </row>
    <row r="4" spans="1:72" x14ac:dyDescent="0.15">
      <c r="A4" t="s">
        <v>72</v>
      </c>
      <c r="B4" t="s">
        <v>117</v>
      </c>
      <c r="C4" t="s">
        <v>74</v>
      </c>
      <c r="D4" t="s">
        <v>74</v>
      </c>
      <c r="E4" t="s">
        <v>74</v>
      </c>
      <c r="F4" t="s">
        <v>117</v>
      </c>
      <c r="G4" t="s">
        <v>74</v>
      </c>
      <c r="H4" t="s">
        <v>74</v>
      </c>
      <c r="I4" t="s">
        <v>118</v>
      </c>
      <c r="J4" t="s">
        <v>119</v>
      </c>
      <c r="K4" t="s">
        <v>74</v>
      </c>
      <c r="L4" t="s">
        <v>74</v>
      </c>
      <c r="M4" t="s">
        <v>77</v>
      </c>
      <c r="N4" t="s">
        <v>120</v>
      </c>
      <c r="O4" t="s">
        <v>74</v>
      </c>
      <c r="P4" t="s">
        <v>74</v>
      </c>
      <c r="Q4" t="s">
        <v>74</v>
      </c>
      <c r="R4" t="s">
        <v>74</v>
      </c>
      <c r="S4" t="s">
        <v>74</v>
      </c>
      <c r="T4" t="s">
        <v>121</v>
      </c>
      <c r="U4" t="s">
        <v>122</v>
      </c>
      <c r="V4" t="s">
        <v>123</v>
      </c>
      <c r="W4" t="s">
        <v>124</v>
      </c>
      <c r="X4" t="s">
        <v>125</v>
      </c>
      <c r="Y4" t="s">
        <v>126</v>
      </c>
      <c r="Z4" t="s">
        <v>74</v>
      </c>
      <c r="AA4" t="s">
        <v>127</v>
      </c>
      <c r="AB4" t="s">
        <v>74</v>
      </c>
      <c r="AC4" t="s">
        <v>74</v>
      </c>
      <c r="AD4" t="s">
        <v>74</v>
      </c>
      <c r="AE4" t="s">
        <v>74</v>
      </c>
      <c r="AF4" t="s">
        <v>74</v>
      </c>
      <c r="AG4">
        <v>36</v>
      </c>
      <c r="AH4">
        <v>9</v>
      </c>
      <c r="AI4">
        <v>10</v>
      </c>
      <c r="AJ4">
        <v>5</v>
      </c>
      <c r="AK4">
        <v>75</v>
      </c>
      <c r="AL4" t="s">
        <v>128</v>
      </c>
      <c r="AM4" t="s">
        <v>129</v>
      </c>
      <c r="AN4" t="s">
        <v>130</v>
      </c>
      <c r="AO4" t="s">
        <v>131</v>
      </c>
      <c r="AP4" t="s">
        <v>74</v>
      </c>
      <c r="AQ4" t="s">
        <v>74</v>
      </c>
      <c r="AR4" t="s">
        <v>132</v>
      </c>
      <c r="AS4" t="s">
        <v>133</v>
      </c>
      <c r="AT4" t="s">
        <v>86</v>
      </c>
      <c r="AU4">
        <v>2001</v>
      </c>
      <c r="AV4">
        <v>23</v>
      </c>
      <c r="AW4">
        <v>6</v>
      </c>
      <c r="AX4" t="s">
        <v>74</v>
      </c>
      <c r="AY4" t="s">
        <v>74</v>
      </c>
      <c r="AZ4" t="s">
        <v>74</v>
      </c>
      <c r="BA4" t="s">
        <v>74</v>
      </c>
      <c r="BB4">
        <v>421</v>
      </c>
      <c r="BC4">
        <v>428</v>
      </c>
      <c r="BD4" t="s">
        <v>74</v>
      </c>
      <c r="BE4" t="s">
        <v>134</v>
      </c>
      <c r="BF4" t="str">
        <f>HYPERLINK("http://dx.doi.org/10.1080/01919510108962025","http://dx.doi.org/10.1080/01919510108962025")</f>
        <v>http://dx.doi.org/10.1080/01919510108962025</v>
      </c>
      <c r="BG4" t="s">
        <v>74</v>
      </c>
      <c r="BH4" t="s">
        <v>74</v>
      </c>
      <c r="BI4">
        <v>8</v>
      </c>
      <c r="BJ4" t="s">
        <v>135</v>
      </c>
      <c r="BK4" t="s">
        <v>88</v>
      </c>
      <c r="BL4" t="s">
        <v>136</v>
      </c>
      <c r="BM4" t="s">
        <v>137</v>
      </c>
      <c r="BN4" t="s">
        <v>74</v>
      </c>
      <c r="BO4" t="s">
        <v>74</v>
      </c>
      <c r="BP4" t="s">
        <v>74</v>
      </c>
      <c r="BQ4" t="s">
        <v>74</v>
      </c>
      <c r="BR4" t="s">
        <v>91</v>
      </c>
      <c r="BS4" t="s">
        <v>138</v>
      </c>
      <c r="BT4" t="str">
        <f>HYPERLINK("https%3A%2F%2Fwww.webofscience.com%2Fwos%2Fwoscc%2Ffull-record%2FWOS:000173161900001","View Full Record in Web of Science")</f>
        <v>View Full Record in Web of Science</v>
      </c>
    </row>
    <row r="5" spans="1:72" x14ac:dyDescent="0.15">
      <c r="A5" t="s">
        <v>72</v>
      </c>
      <c r="B5" t="s">
        <v>139</v>
      </c>
      <c r="C5" t="s">
        <v>74</v>
      </c>
      <c r="D5" t="s">
        <v>74</v>
      </c>
      <c r="E5" t="s">
        <v>74</v>
      </c>
      <c r="F5" t="s">
        <v>139</v>
      </c>
      <c r="G5" t="s">
        <v>74</v>
      </c>
      <c r="H5" t="s">
        <v>74</v>
      </c>
      <c r="I5" t="s">
        <v>140</v>
      </c>
      <c r="J5" t="s">
        <v>141</v>
      </c>
      <c r="K5" t="s">
        <v>74</v>
      </c>
      <c r="L5" t="s">
        <v>74</v>
      </c>
      <c r="M5" t="s">
        <v>77</v>
      </c>
      <c r="N5" t="s">
        <v>120</v>
      </c>
      <c r="O5" t="s">
        <v>74</v>
      </c>
      <c r="P5" t="s">
        <v>74</v>
      </c>
      <c r="Q5" t="s">
        <v>74</v>
      </c>
      <c r="R5" t="s">
        <v>74</v>
      </c>
      <c r="S5" t="s">
        <v>74</v>
      </c>
      <c r="T5" t="s">
        <v>74</v>
      </c>
      <c r="U5" t="s">
        <v>142</v>
      </c>
      <c r="V5" t="s">
        <v>143</v>
      </c>
      <c r="W5" t="s">
        <v>144</v>
      </c>
      <c r="X5" t="s">
        <v>145</v>
      </c>
      <c r="Y5" t="s">
        <v>146</v>
      </c>
      <c r="Z5" t="s">
        <v>147</v>
      </c>
      <c r="AA5" t="s">
        <v>148</v>
      </c>
      <c r="AB5" t="s">
        <v>74</v>
      </c>
      <c r="AC5" t="s">
        <v>74</v>
      </c>
      <c r="AD5" t="s">
        <v>74</v>
      </c>
      <c r="AE5" t="s">
        <v>74</v>
      </c>
      <c r="AF5" t="s">
        <v>74</v>
      </c>
      <c r="AG5">
        <v>89</v>
      </c>
      <c r="AH5">
        <v>74</v>
      </c>
      <c r="AI5">
        <v>93</v>
      </c>
      <c r="AJ5">
        <v>2</v>
      </c>
      <c r="AK5">
        <v>36</v>
      </c>
      <c r="AL5" t="s">
        <v>149</v>
      </c>
      <c r="AM5" t="s">
        <v>150</v>
      </c>
      <c r="AN5" t="s">
        <v>151</v>
      </c>
      <c r="AO5" t="s">
        <v>152</v>
      </c>
      <c r="AP5" t="s">
        <v>153</v>
      </c>
      <c r="AQ5" t="s">
        <v>74</v>
      </c>
      <c r="AR5" t="s">
        <v>141</v>
      </c>
      <c r="AS5" t="s">
        <v>154</v>
      </c>
      <c r="AT5" t="s">
        <v>86</v>
      </c>
      <c r="AU5">
        <v>2001</v>
      </c>
      <c r="AV5">
        <v>16</v>
      </c>
      <c r="AW5">
        <v>6</v>
      </c>
      <c r="AX5" t="s">
        <v>74</v>
      </c>
      <c r="AY5" t="s">
        <v>74</v>
      </c>
      <c r="AZ5" t="s">
        <v>74</v>
      </c>
      <c r="BA5" t="s">
        <v>74</v>
      </c>
      <c r="BB5">
        <v>549</v>
      </c>
      <c r="BC5">
        <v>562</v>
      </c>
      <c r="BD5" t="s">
        <v>74</v>
      </c>
      <c r="BE5" t="s">
        <v>155</v>
      </c>
      <c r="BF5" t="str">
        <f>HYPERLINK("http://dx.doi.org/10.1029/2000PA000615","http://dx.doi.org/10.1029/2000PA000615")</f>
        <v>http://dx.doi.org/10.1029/2000PA000615</v>
      </c>
      <c r="BG5" t="s">
        <v>74</v>
      </c>
      <c r="BH5" t="s">
        <v>74</v>
      </c>
      <c r="BI5">
        <v>14</v>
      </c>
      <c r="BJ5" t="s">
        <v>156</v>
      </c>
      <c r="BK5" t="s">
        <v>88</v>
      </c>
      <c r="BL5" t="s">
        <v>157</v>
      </c>
      <c r="BM5" t="s">
        <v>158</v>
      </c>
      <c r="BN5" t="s">
        <v>74</v>
      </c>
      <c r="BO5" t="s">
        <v>74</v>
      </c>
      <c r="BP5" t="s">
        <v>74</v>
      </c>
      <c r="BQ5" t="s">
        <v>74</v>
      </c>
      <c r="BR5" t="s">
        <v>91</v>
      </c>
      <c r="BS5" t="s">
        <v>159</v>
      </c>
      <c r="BT5" t="str">
        <f>HYPERLINK("https%3A%2F%2Fwww.webofscience.com%2Fwos%2Fwoscc%2Ffull-record%2FWOS:000172863900001","View Full Record in Web of Science")</f>
        <v>View Full Record in Web of Science</v>
      </c>
    </row>
    <row r="6" spans="1:72" x14ac:dyDescent="0.15">
      <c r="A6" t="s">
        <v>72</v>
      </c>
      <c r="B6" t="s">
        <v>160</v>
      </c>
      <c r="C6" t="s">
        <v>74</v>
      </c>
      <c r="D6" t="s">
        <v>74</v>
      </c>
      <c r="E6" t="s">
        <v>74</v>
      </c>
      <c r="F6" t="s">
        <v>160</v>
      </c>
      <c r="G6" t="s">
        <v>74</v>
      </c>
      <c r="H6" t="s">
        <v>74</v>
      </c>
      <c r="I6" t="s">
        <v>161</v>
      </c>
      <c r="J6" t="s">
        <v>141</v>
      </c>
      <c r="K6" t="s">
        <v>74</v>
      </c>
      <c r="L6" t="s">
        <v>74</v>
      </c>
      <c r="M6" t="s">
        <v>77</v>
      </c>
      <c r="N6" t="s">
        <v>120</v>
      </c>
      <c r="O6" t="s">
        <v>74</v>
      </c>
      <c r="P6" t="s">
        <v>74</v>
      </c>
      <c r="Q6" t="s">
        <v>74</v>
      </c>
      <c r="R6" t="s">
        <v>74</v>
      </c>
      <c r="S6" t="s">
        <v>74</v>
      </c>
      <c r="T6" t="s">
        <v>74</v>
      </c>
      <c r="U6" t="s">
        <v>162</v>
      </c>
      <c r="V6" t="s">
        <v>163</v>
      </c>
      <c r="W6" t="s">
        <v>164</v>
      </c>
      <c r="X6" t="s">
        <v>165</v>
      </c>
      <c r="Y6" t="s">
        <v>166</v>
      </c>
      <c r="Z6" t="s">
        <v>167</v>
      </c>
      <c r="AA6" t="s">
        <v>168</v>
      </c>
      <c r="AB6" t="s">
        <v>169</v>
      </c>
      <c r="AC6" t="s">
        <v>74</v>
      </c>
      <c r="AD6" t="s">
        <v>74</v>
      </c>
      <c r="AE6" t="s">
        <v>74</v>
      </c>
      <c r="AF6" t="s">
        <v>74</v>
      </c>
      <c r="AG6">
        <v>74</v>
      </c>
      <c r="AH6">
        <v>168</v>
      </c>
      <c r="AI6">
        <v>182</v>
      </c>
      <c r="AJ6">
        <v>0</v>
      </c>
      <c r="AK6">
        <v>37</v>
      </c>
      <c r="AL6" t="s">
        <v>149</v>
      </c>
      <c r="AM6" t="s">
        <v>150</v>
      </c>
      <c r="AN6" t="s">
        <v>151</v>
      </c>
      <c r="AO6" t="s">
        <v>152</v>
      </c>
      <c r="AP6" t="s">
        <v>74</v>
      </c>
      <c r="AQ6" t="s">
        <v>74</v>
      </c>
      <c r="AR6" t="s">
        <v>141</v>
      </c>
      <c r="AS6" t="s">
        <v>154</v>
      </c>
      <c r="AT6" t="s">
        <v>86</v>
      </c>
      <c r="AU6">
        <v>2001</v>
      </c>
      <c r="AV6">
        <v>16</v>
      </c>
      <c r="AW6">
        <v>6</v>
      </c>
      <c r="AX6" t="s">
        <v>74</v>
      </c>
      <c r="AY6" t="s">
        <v>74</v>
      </c>
      <c r="AZ6" t="s">
        <v>74</v>
      </c>
      <c r="BA6" t="s">
        <v>74</v>
      </c>
      <c r="BB6">
        <v>576</v>
      </c>
      <c r="BC6">
        <v>592</v>
      </c>
      <c r="BD6" t="s">
        <v>74</v>
      </c>
      <c r="BE6" t="s">
        <v>170</v>
      </c>
      <c r="BF6" t="str">
        <f>HYPERLINK("http://dx.doi.org/10.1029/2000PA000579","http://dx.doi.org/10.1029/2000PA000579")</f>
        <v>http://dx.doi.org/10.1029/2000PA000579</v>
      </c>
      <c r="BG6" t="s">
        <v>74</v>
      </c>
      <c r="BH6" t="s">
        <v>74</v>
      </c>
      <c r="BI6">
        <v>17</v>
      </c>
      <c r="BJ6" t="s">
        <v>156</v>
      </c>
      <c r="BK6" t="s">
        <v>88</v>
      </c>
      <c r="BL6" t="s">
        <v>157</v>
      </c>
      <c r="BM6" t="s">
        <v>158</v>
      </c>
      <c r="BN6" t="s">
        <v>74</v>
      </c>
      <c r="BO6" t="s">
        <v>171</v>
      </c>
      <c r="BP6" t="s">
        <v>74</v>
      </c>
      <c r="BQ6" t="s">
        <v>74</v>
      </c>
      <c r="BR6" t="s">
        <v>91</v>
      </c>
      <c r="BS6" t="s">
        <v>172</v>
      </c>
      <c r="BT6" t="str">
        <f>HYPERLINK("https%3A%2F%2Fwww.webofscience.com%2Fwos%2Fwoscc%2Ffull-record%2FWOS:000172863900003","View Full Record in Web of Science")</f>
        <v>View Full Record in Web of Science</v>
      </c>
    </row>
    <row r="7" spans="1:72" x14ac:dyDescent="0.15">
      <c r="A7" t="s">
        <v>72</v>
      </c>
      <c r="B7" t="s">
        <v>173</v>
      </c>
      <c r="C7" t="s">
        <v>74</v>
      </c>
      <c r="D7" t="s">
        <v>74</v>
      </c>
      <c r="E7" t="s">
        <v>74</v>
      </c>
      <c r="F7" t="s">
        <v>173</v>
      </c>
      <c r="G7" t="s">
        <v>74</v>
      </c>
      <c r="H7" t="s">
        <v>74</v>
      </c>
      <c r="I7" t="s">
        <v>174</v>
      </c>
      <c r="J7" t="s">
        <v>175</v>
      </c>
      <c r="K7" t="s">
        <v>74</v>
      </c>
      <c r="L7" t="s">
        <v>74</v>
      </c>
      <c r="M7" t="s">
        <v>77</v>
      </c>
      <c r="N7" t="s">
        <v>120</v>
      </c>
      <c r="O7" t="s">
        <v>74</v>
      </c>
      <c r="P7" t="s">
        <v>74</v>
      </c>
      <c r="Q7" t="s">
        <v>74</v>
      </c>
      <c r="R7" t="s">
        <v>74</v>
      </c>
      <c r="S7" t="s">
        <v>74</v>
      </c>
      <c r="T7" t="s">
        <v>176</v>
      </c>
      <c r="U7" t="s">
        <v>177</v>
      </c>
      <c r="V7" t="s">
        <v>178</v>
      </c>
      <c r="W7" t="s">
        <v>179</v>
      </c>
      <c r="X7" t="s">
        <v>180</v>
      </c>
      <c r="Y7" t="s">
        <v>181</v>
      </c>
      <c r="Z7" t="s">
        <v>74</v>
      </c>
      <c r="AA7" t="s">
        <v>74</v>
      </c>
      <c r="AB7" t="s">
        <v>74</v>
      </c>
      <c r="AC7" t="s">
        <v>74</v>
      </c>
      <c r="AD7" t="s">
        <v>74</v>
      </c>
      <c r="AE7" t="s">
        <v>74</v>
      </c>
      <c r="AF7" t="s">
        <v>74</v>
      </c>
      <c r="AG7">
        <v>30</v>
      </c>
      <c r="AH7">
        <v>9</v>
      </c>
      <c r="AI7">
        <v>10</v>
      </c>
      <c r="AJ7">
        <v>0</v>
      </c>
      <c r="AK7">
        <v>12</v>
      </c>
      <c r="AL7" t="s">
        <v>182</v>
      </c>
      <c r="AM7" t="s">
        <v>183</v>
      </c>
      <c r="AN7" t="s">
        <v>184</v>
      </c>
      <c r="AO7" t="s">
        <v>185</v>
      </c>
      <c r="AP7" t="s">
        <v>74</v>
      </c>
      <c r="AQ7" t="s">
        <v>74</v>
      </c>
      <c r="AR7" t="s">
        <v>175</v>
      </c>
      <c r="AS7" t="s">
        <v>186</v>
      </c>
      <c r="AT7" t="s">
        <v>86</v>
      </c>
      <c r="AU7">
        <v>2001</v>
      </c>
      <c r="AV7">
        <v>45</v>
      </c>
      <c r="AW7">
        <v>6</v>
      </c>
      <c r="AX7" t="s">
        <v>74</v>
      </c>
      <c r="AY7" t="s">
        <v>74</v>
      </c>
      <c r="AZ7" t="s">
        <v>74</v>
      </c>
      <c r="BA7" t="s">
        <v>74</v>
      </c>
      <c r="BB7">
        <v>561</v>
      </c>
      <c r="BC7">
        <v>571</v>
      </c>
      <c r="BD7" t="s">
        <v>74</v>
      </c>
      <c r="BE7" t="s">
        <v>187</v>
      </c>
      <c r="BF7" t="str">
        <f>HYPERLINK("http://dx.doi.org/10.1078/0031-4056-00107","http://dx.doi.org/10.1078/0031-4056-00107")</f>
        <v>http://dx.doi.org/10.1078/0031-4056-00107</v>
      </c>
      <c r="BG7" t="s">
        <v>74</v>
      </c>
      <c r="BH7" t="s">
        <v>74</v>
      </c>
      <c r="BI7">
        <v>11</v>
      </c>
      <c r="BJ7" t="s">
        <v>188</v>
      </c>
      <c r="BK7" t="s">
        <v>88</v>
      </c>
      <c r="BL7" t="s">
        <v>189</v>
      </c>
      <c r="BM7" t="s">
        <v>190</v>
      </c>
      <c r="BN7" t="s">
        <v>74</v>
      </c>
      <c r="BO7" t="s">
        <v>74</v>
      </c>
      <c r="BP7" t="s">
        <v>74</v>
      </c>
      <c r="BQ7" t="s">
        <v>74</v>
      </c>
      <c r="BR7" t="s">
        <v>91</v>
      </c>
      <c r="BS7" t="s">
        <v>191</v>
      </c>
      <c r="BT7" t="str">
        <f>HYPERLINK("https%3A%2F%2Fwww.webofscience.com%2Fwos%2Fwoscc%2Ffull-record%2FWOS:000172790900007","View Full Record in Web of Science")</f>
        <v>View Full Record in Web of Science</v>
      </c>
    </row>
    <row r="8" spans="1:72" x14ac:dyDescent="0.15">
      <c r="A8" t="s">
        <v>72</v>
      </c>
      <c r="B8" t="s">
        <v>192</v>
      </c>
      <c r="C8" t="s">
        <v>74</v>
      </c>
      <c r="D8" t="s">
        <v>74</v>
      </c>
      <c r="E8" t="s">
        <v>74</v>
      </c>
      <c r="F8" t="s">
        <v>192</v>
      </c>
      <c r="G8" t="s">
        <v>74</v>
      </c>
      <c r="H8" t="s">
        <v>74</v>
      </c>
      <c r="I8" t="s">
        <v>193</v>
      </c>
      <c r="J8" t="s">
        <v>194</v>
      </c>
      <c r="K8" t="s">
        <v>74</v>
      </c>
      <c r="L8" t="s">
        <v>74</v>
      </c>
      <c r="M8" t="s">
        <v>77</v>
      </c>
      <c r="N8" t="s">
        <v>120</v>
      </c>
      <c r="O8" t="s">
        <v>74</v>
      </c>
      <c r="P8" t="s">
        <v>74</v>
      </c>
      <c r="Q8" t="s">
        <v>74</v>
      </c>
      <c r="R8" t="s">
        <v>74</v>
      </c>
      <c r="S8" t="s">
        <v>74</v>
      </c>
      <c r="T8" t="s">
        <v>74</v>
      </c>
      <c r="U8" t="s">
        <v>195</v>
      </c>
      <c r="V8" t="s">
        <v>196</v>
      </c>
      <c r="W8" t="s">
        <v>197</v>
      </c>
      <c r="X8" t="s">
        <v>198</v>
      </c>
      <c r="Y8" t="s">
        <v>199</v>
      </c>
      <c r="Z8" t="s">
        <v>200</v>
      </c>
      <c r="AA8" t="s">
        <v>201</v>
      </c>
      <c r="AB8" t="s">
        <v>202</v>
      </c>
      <c r="AC8" t="s">
        <v>74</v>
      </c>
      <c r="AD8" t="s">
        <v>74</v>
      </c>
      <c r="AE8" t="s">
        <v>74</v>
      </c>
      <c r="AF8" t="s">
        <v>74</v>
      </c>
      <c r="AG8">
        <v>22</v>
      </c>
      <c r="AH8">
        <v>27</v>
      </c>
      <c r="AI8">
        <v>27</v>
      </c>
      <c r="AJ8">
        <v>0</v>
      </c>
      <c r="AK8">
        <v>10</v>
      </c>
      <c r="AL8" t="s">
        <v>203</v>
      </c>
      <c r="AM8" t="s">
        <v>204</v>
      </c>
      <c r="AN8" t="s">
        <v>205</v>
      </c>
      <c r="AO8" t="s">
        <v>206</v>
      </c>
      <c r="AP8" t="s">
        <v>74</v>
      </c>
      <c r="AQ8" t="s">
        <v>74</v>
      </c>
      <c r="AR8" t="s">
        <v>207</v>
      </c>
      <c r="AS8" t="s">
        <v>208</v>
      </c>
      <c r="AT8" t="s">
        <v>86</v>
      </c>
      <c r="AU8">
        <v>2001</v>
      </c>
      <c r="AV8">
        <v>24</v>
      </c>
      <c r="AW8">
        <v>12</v>
      </c>
      <c r="AX8" t="s">
        <v>74</v>
      </c>
      <c r="AY8" t="s">
        <v>74</v>
      </c>
      <c r="AZ8" t="s">
        <v>74</v>
      </c>
      <c r="BA8" t="s">
        <v>74</v>
      </c>
      <c r="BB8">
        <v>883</v>
      </c>
      <c r="BC8">
        <v>891</v>
      </c>
      <c r="BD8" t="s">
        <v>74</v>
      </c>
      <c r="BE8" t="s">
        <v>74</v>
      </c>
      <c r="BF8" t="s">
        <v>74</v>
      </c>
      <c r="BG8" t="s">
        <v>74</v>
      </c>
      <c r="BH8" t="s">
        <v>74</v>
      </c>
      <c r="BI8">
        <v>9</v>
      </c>
      <c r="BJ8" t="s">
        <v>209</v>
      </c>
      <c r="BK8" t="s">
        <v>88</v>
      </c>
      <c r="BL8" t="s">
        <v>210</v>
      </c>
      <c r="BM8" t="s">
        <v>211</v>
      </c>
      <c r="BN8" t="s">
        <v>74</v>
      </c>
      <c r="BO8" t="s">
        <v>74</v>
      </c>
      <c r="BP8" t="s">
        <v>74</v>
      </c>
      <c r="BQ8" t="s">
        <v>74</v>
      </c>
      <c r="BR8" t="s">
        <v>91</v>
      </c>
      <c r="BS8" t="s">
        <v>212</v>
      </c>
      <c r="BT8" t="str">
        <f>HYPERLINK("https%3A%2F%2Fwww.webofscience.com%2Fwos%2Fwoscc%2Ffull-record%2FWOS:000172557500002","View Full Record in Web of Science")</f>
        <v>View Full Record in Web of Science</v>
      </c>
    </row>
    <row r="9" spans="1:72" x14ac:dyDescent="0.15">
      <c r="A9" t="s">
        <v>72</v>
      </c>
      <c r="B9" t="s">
        <v>213</v>
      </c>
      <c r="C9" t="s">
        <v>74</v>
      </c>
      <c r="D9" t="s">
        <v>74</v>
      </c>
      <c r="E9" t="s">
        <v>74</v>
      </c>
      <c r="F9" t="s">
        <v>213</v>
      </c>
      <c r="G9" t="s">
        <v>74</v>
      </c>
      <c r="H9" t="s">
        <v>74</v>
      </c>
      <c r="I9" t="s">
        <v>214</v>
      </c>
      <c r="J9" t="s">
        <v>194</v>
      </c>
      <c r="K9" t="s">
        <v>74</v>
      </c>
      <c r="L9" t="s">
        <v>74</v>
      </c>
      <c r="M9" t="s">
        <v>77</v>
      </c>
      <c r="N9" t="s">
        <v>120</v>
      </c>
      <c r="O9" t="s">
        <v>74</v>
      </c>
      <c r="P9" t="s">
        <v>74</v>
      </c>
      <c r="Q9" t="s">
        <v>74</v>
      </c>
      <c r="R9" t="s">
        <v>74</v>
      </c>
      <c r="S9" t="s">
        <v>74</v>
      </c>
      <c r="T9" t="s">
        <v>74</v>
      </c>
      <c r="U9" t="s">
        <v>215</v>
      </c>
      <c r="V9" t="s">
        <v>216</v>
      </c>
      <c r="W9" t="s">
        <v>217</v>
      </c>
      <c r="X9" t="s">
        <v>218</v>
      </c>
      <c r="Y9" t="s">
        <v>219</v>
      </c>
      <c r="Z9" t="s">
        <v>74</v>
      </c>
      <c r="AA9" t="s">
        <v>74</v>
      </c>
      <c r="AB9" t="s">
        <v>74</v>
      </c>
      <c r="AC9" t="s">
        <v>74</v>
      </c>
      <c r="AD9" t="s">
        <v>74</v>
      </c>
      <c r="AE9" t="s">
        <v>74</v>
      </c>
      <c r="AF9" t="s">
        <v>74</v>
      </c>
      <c r="AG9">
        <v>54</v>
      </c>
      <c r="AH9">
        <v>41</v>
      </c>
      <c r="AI9">
        <v>42</v>
      </c>
      <c r="AJ9">
        <v>0</v>
      </c>
      <c r="AK9">
        <v>5</v>
      </c>
      <c r="AL9" t="s">
        <v>203</v>
      </c>
      <c r="AM9" t="s">
        <v>204</v>
      </c>
      <c r="AN9" t="s">
        <v>205</v>
      </c>
      <c r="AO9" t="s">
        <v>206</v>
      </c>
      <c r="AP9" t="s">
        <v>74</v>
      </c>
      <c r="AQ9" t="s">
        <v>74</v>
      </c>
      <c r="AR9" t="s">
        <v>207</v>
      </c>
      <c r="AS9" t="s">
        <v>208</v>
      </c>
      <c r="AT9" t="s">
        <v>86</v>
      </c>
      <c r="AU9">
        <v>2001</v>
      </c>
      <c r="AV9">
        <v>24</v>
      </c>
      <c r="AW9">
        <v>12</v>
      </c>
      <c r="AX9" t="s">
        <v>74</v>
      </c>
      <c r="AY9" t="s">
        <v>74</v>
      </c>
      <c r="AZ9" t="s">
        <v>74</v>
      </c>
      <c r="BA9" t="s">
        <v>74</v>
      </c>
      <c r="BB9">
        <v>910</v>
      </c>
      <c r="BC9">
        <v>917</v>
      </c>
      <c r="BD9" t="s">
        <v>74</v>
      </c>
      <c r="BE9" t="s">
        <v>220</v>
      </c>
      <c r="BF9" t="str">
        <f>HYPERLINK("http://dx.doi.org/10.1007/s003000100299","http://dx.doi.org/10.1007/s003000100299")</f>
        <v>http://dx.doi.org/10.1007/s003000100299</v>
      </c>
      <c r="BG9" t="s">
        <v>74</v>
      </c>
      <c r="BH9" t="s">
        <v>74</v>
      </c>
      <c r="BI9">
        <v>8</v>
      </c>
      <c r="BJ9" t="s">
        <v>209</v>
      </c>
      <c r="BK9" t="s">
        <v>88</v>
      </c>
      <c r="BL9" t="s">
        <v>210</v>
      </c>
      <c r="BM9" t="s">
        <v>211</v>
      </c>
      <c r="BN9" t="s">
        <v>74</v>
      </c>
      <c r="BO9" t="s">
        <v>74</v>
      </c>
      <c r="BP9" t="s">
        <v>74</v>
      </c>
      <c r="BQ9" t="s">
        <v>74</v>
      </c>
      <c r="BR9" t="s">
        <v>91</v>
      </c>
      <c r="BS9" t="s">
        <v>221</v>
      </c>
      <c r="BT9" t="str">
        <f>HYPERLINK("https%3A%2F%2Fwww.webofscience.com%2Fwos%2Fwoscc%2Ffull-record%2FWOS:000172557500005","View Full Record in Web of Science")</f>
        <v>View Full Record in Web of Science</v>
      </c>
    </row>
    <row r="10" spans="1:72" x14ac:dyDescent="0.15">
      <c r="A10" t="s">
        <v>72</v>
      </c>
      <c r="B10" t="s">
        <v>222</v>
      </c>
      <c r="C10" t="s">
        <v>74</v>
      </c>
      <c r="D10" t="s">
        <v>74</v>
      </c>
      <c r="E10" t="s">
        <v>74</v>
      </c>
      <c r="F10" t="s">
        <v>222</v>
      </c>
      <c r="G10" t="s">
        <v>74</v>
      </c>
      <c r="H10" t="s">
        <v>74</v>
      </c>
      <c r="I10" t="s">
        <v>223</v>
      </c>
      <c r="J10" t="s">
        <v>194</v>
      </c>
      <c r="K10" t="s">
        <v>74</v>
      </c>
      <c r="L10" t="s">
        <v>74</v>
      </c>
      <c r="M10" t="s">
        <v>77</v>
      </c>
      <c r="N10" t="s">
        <v>120</v>
      </c>
      <c r="O10" t="s">
        <v>74</v>
      </c>
      <c r="P10" t="s">
        <v>74</v>
      </c>
      <c r="Q10" t="s">
        <v>74</v>
      </c>
      <c r="R10" t="s">
        <v>74</v>
      </c>
      <c r="S10" t="s">
        <v>74</v>
      </c>
      <c r="T10" t="s">
        <v>74</v>
      </c>
      <c r="U10" t="s">
        <v>224</v>
      </c>
      <c r="V10" t="s">
        <v>225</v>
      </c>
      <c r="W10" t="s">
        <v>226</v>
      </c>
      <c r="X10" t="s">
        <v>227</v>
      </c>
      <c r="Y10" t="s">
        <v>228</v>
      </c>
      <c r="Z10" t="s">
        <v>74</v>
      </c>
      <c r="AA10" t="s">
        <v>74</v>
      </c>
      <c r="AB10" t="s">
        <v>74</v>
      </c>
      <c r="AC10" t="s">
        <v>74</v>
      </c>
      <c r="AD10" t="s">
        <v>74</v>
      </c>
      <c r="AE10" t="s">
        <v>74</v>
      </c>
      <c r="AF10" t="s">
        <v>74</v>
      </c>
      <c r="AG10">
        <v>30</v>
      </c>
      <c r="AH10">
        <v>71</v>
      </c>
      <c r="AI10">
        <v>76</v>
      </c>
      <c r="AJ10">
        <v>0</v>
      </c>
      <c r="AK10">
        <v>18</v>
      </c>
      <c r="AL10" t="s">
        <v>203</v>
      </c>
      <c r="AM10" t="s">
        <v>204</v>
      </c>
      <c r="AN10" t="s">
        <v>205</v>
      </c>
      <c r="AO10" t="s">
        <v>206</v>
      </c>
      <c r="AP10" t="s">
        <v>74</v>
      </c>
      <c r="AQ10" t="s">
        <v>74</v>
      </c>
      <c r="AR10" t="s">
        <v>207</v>
      </c>
      <c r="AS10" t="s">
        <v>208</v>
      </c>
      <c r="AT10" t="s">
        <v>86</v>
      </c>
      <c r="AU10">
        <v>2001</v>
      </c>
      <c r="AV10">
        <v>24</v>
      </c>
      <c r="AW10">
        <v>12</v>
      </c>
      <c r="AX10" t="s">
        <v>74</v>
      </c>
      <c r="AY10" t="s">
        <v>74</v>
      </c>
      <c r="AZ10" t="s">
        <v>74</v>
      </c>
      <c r="BA10" t="s">
        <v>74</v>
      </c>
      <c r="BB10">
        <v>918</v>
      </c>
      <c r="BC10">
        <v>925</v>
      </c>
      <c r="BD10" t="s">
        <v>74</v>
      </c>
      <c r="BE10" t="s">
        <v>229</v>
      </c>
      <c r="BF10" t="str">
        <f>HYPERLINK("http://dx.doi.org/10.1007/s003000100300","http://dx.doi.org/10.1007/s003000100300")</f>
        <v>http://dx.doi.org/10.1007/s003000100300</v>
      </c>
      <c r="BG10" t="s">
        <v>74</v>
      </c>
      <c r="BH10" t="s">
        <v>74</v>
      </c>
      <c r="BI10">
        <v>8</v>
      </c>
      <c r="BJ10" t="s">
        <v>209</v>
      </c>
      <c r="BK10" t="s">
        <v>88</v>
      </c>
      <c r="BL10" t="s">
        <v>210</v>
      </c>
      <c r="BM10" t="s">
        <v>211</v>
      </c>
      <c r="BN10" t="s">
        <v>74</v>
      </c>
      <c r="BO10" t="s">
        <v>74</v>
      </c>
      <c r="BP10" t="s">
        <v>74</v>
      </c>
      <c r="BQ10" t="s">
        <v>74</v>
      </c>
      <c r="BR10" t="s">
        <v>91</v>
      </c>
      <c r="BS10" t="s">
        <v>230</v>
      </c>
      <c r="BT10" t="str">
        <f>HYPERLINK("https%3A%2F%2Fwww.webofscience.com%2Fwos%2Fwoscc%2Ffull-record%2FWOS:000172557500006","View Full Record in Web of Science")</f>
        <v>View Full Record in Web of Science</v>
      </c>
    </row>
    <row r="11" spans="1:72" x14ac:dyDescent="0.15">
      <c r="A11" t="s">
        <v>72</v>
      </c>
      <c r="B11" t="s">
        <v>231</v>
      </c>
      <c r="C11" t="s">
        <v>74</v>
      </c>
      <c r="D11" t="s">
        <v>74</v>
      </c>
      <c r="E11" t="s">
        <v>74</v>
      </c>
      <c r="F11" t="s">
        <v>231</v>
      </c>
      <c r="G11" t="s">
        <v>74</v>
      </c>
      <c r="H11" t="s">
        <v>74</v>
      </c>
      <c r="I11" t="s">
        <v>232</v>
      </c>
      <c r="J11" t="s">
        <v>194</v>
      </c>
      <c r="K11" t="s">
        <v>74</v>
      </c>
      <c r="L11" t="s">
        <v>74</v>
      </c>
      <c r="M11" t="s">
        <v>77</v>
      </c>
      <c r="N11" t="s">
        <v>120</v>
      </c>
      <c r="O11" t="s">
        <v>74</v>
      </c>
      <c r="P11" t="s">
        <v>74</v>
      </c>
      <c r="Q11" t="s">
        <v>74</v>
      </c>
      <c r="R11" t="s">
        <v>74</v>
      </c>
      <c r="S11" t="s">
        <v>74</v>
      </c>
      <c r="T11" t="s">
        <v>74</v>
      </c>
      <c r="U11" t="s">
        <v>233</v>
      </c>
      <c r="V11" t="s">
        <v>234</v>
      </c>
      <c r="W11" t="s">
        <v>235</v>
      </c>
      <c r="X11" t="s">
        <v>236</v>
      </c>
      <c r="Y11" t="s">
        <v>237</v>
      </c>
      <c r="Z11" t="s">
        <v>74</v>
      </c>
      <c r="AA11" t="s">
        <v>74</v>
      </c>
      <c r="AB11" t="s">
        <v>74</v>
      </c>
      <c r="AC11" t="s">
        <v>74</v>
      </c>
      <c r="AD11" t="s">
        <v>74</v>
      </c>
      <c r="AE11" t="s">
        <v>74</v>
      </c>
      <c r="AF11" t="s">
        <v>74</v>
      </c>
      <c r="AG11">
        <v>26</v>
      </c>
      <c r="AH11">
        <v>39</v>
      </c>
      <c r="AI11">
        <v>42</v>
      </c>
      <c r="AJ11">
        <v>0</v>
      </c>
      <c r="AK11">
        <v>8</v>
      </c>
      <c r="AL11" t="s">
        <v>203</v>
      </c>
      <c r="AM11" t="s">
        <v>204</v>
      </c>
      <c r="AN11" t="s">
        <v>205</v>
      </c>
      <c r="AO11" t="s">
        <v>206</v>
      </c>
      <c r="AP11" t="s">
        <v>74</v>
      </c>
      <c r="AQ11" t="s">
        <v>74</v>
      </c>
      <c r="AR11" t="s">
        <v>207</v>
      </c>
      <c r="AS11" t="s">
        <v>208</v>
      </c>
      <c r="AT11" t="s">
        <v>86</v>
      </c>
      <c r="AU11">
        <v>2001</v>
      </c>
      <c r="AV11">
        <v>24</v>
      </c>
      <c r="AW11">
        <v>12</v>
      </c>
      <c r="AX11" t="s">
        <v>74</v>
      </c>
      <c r="AY11" t="s">
        <v>74</v>
      </c>
      <c r="AZ11" t="s">
        <v>74</v>
      </c>
      <c r="BA11" t="s">
        <v>74</v>
      </c>
      <c r="BB11">
        <v>926</v>
      </c>
      <c r="BC11">
        <v>933</v>
      </c>
      <c r="BD11" t="s">
        <v>74</v>
      </c>
      <c r="BE11" t="s">
        <v>74</v>
      </c>
      <c r="BF11" t="s">
        <v>74</v>
      </c>
      <c r="BG11" t="s">
        <v>74</v>
      </c>
      <c r="BH11" t="s">
        <v>74</v>
      </c>
      <c r="BI11">
        <v>8</v>
      </c>
      <c r="BJ11" t="s">
        <v>209</v>
      </c>
      <c r="BK11" t="s">
        <v>88</v>
      </c>
      <c r="BL11" t="s">
        <v>210</v>
      </c>
      <c r="BM11" t="s">
        <v>211</v>
      </c>
      <c r="BN11" t="s">
        <v>74</v>
      </c>
      <c r="BO11" t="s">
        <v>74</v>
      </c>
      <c r="BP11" t="s">
        <v>74</v>
      </c>
      <c r="BQ11" t="s">
        <v>74</v>
      </c>
      <c r="BR11" t="s">
        <v>91</v>
      </c>
      <c r="BS11" t="s">
        <v>238</v>
      </c>
      <c r="BT11" t="str">
        <f>HYPERLINK("https%3A%2F%2Fwww.webofscience.com%2Fwos%2Fwoscc%2Ffull-record%2FWOS:000172557500007","View Full Record in Web of Science")</f>
        <v>View Full Record in Web of Science</v>
      </c>
    </row>
    <row r="12" spans="1:72" x14ac:dyDescent="0.15">
      <c r="A12" t="s">
        <v>72</v>
      </c>
      <c r="B12" t="s">
        <v>239</v>
      </c>
      <c r="C12" t="s">
        <v>74</v>
      </c>
      <c r="D12" t="s">
        <v>74</v>
      </c>
      <c r="E12" t="s">
        <v>74</v>
      </c>
      <c r="F12" t="s">
        <v>239</v>
      </c>
      <c r="G12" t="s">
        <v>74</v>
      </c>
      <c r="H12" t="s">
        <v>74</v>
      </c>
      <c r="I12" t="s">
        <v>240</v>
      </c>
      <c r="J12" t="s">
        <v>194</v>
      </c>
      <c r="K12" t="s">
        <v>74</v>
      </c>
      <c r="L12" t="s">
        <v>74</v>
      </c>
      <c r="M12" t="s">
        <v>77</v>
      </c>
      <c r="N12" t="s">
        <v>120</v>
      </c>
      <c r="O12" t="s">
        <v>74</v>
      </c>
      <c r="P12" t="s">
        <v>74</v>
      </c>
      <c r="Q12" t="s">
        <v>74</v>
      </c>
      <c r="R12" t="s">
        <v>74</v>
      </c>
      <c r="S12" t="s">
        <v>74</v>
      </c>
      <c r="T12" t="s">
        <v>74</v>
      </c>
      <c r="U12" t="s">
        <v>241</v>
      </c>
      <c r="V12" t="s">
        <v>242</v>
      </c>
      <c r="W12" t="s">
        <v>243</v>
      </c>
      <c r="X12" t="s">
        <v>244</v>
      </c>
      <c r="Y12" t="s">
        <v>245</v>
      </c>
      <c r="Z12" t="s">
        <v>246</v>
      </c>
      <c r="AA12" t="s">
        <v>74</v>
      </c>
      <c r="AB12" t="s">
        <v>247</v>
      </c>
      <c r="AC12" t="s">
        <v>74</v>
      </c>
      <c r="AD12" t="s">
        <v>74</v>
      </c>
      <c r="AE12" t="s">
        <v>74</v>
      </c>
      <c r="AF12" t="s">
        <v>74</v>
      </c>
      <c r="AG12">
        <v>43</v>
      </c>
      <c r="AH12">
        <v>36</v>
      </c>
      <c r="AI12">
        <v>39</v>
      </c>
      <c r="AJ12">
        <v>0</v>
      </c>
      <c r="AK12">
        <v>3</v>
      </c>
      <c r="AL12" t="s">
        <v>248</v>
      </c>
      <c r="AM12" t="s">
        <v>204</v>
      </c>
      <c r="AN12" t="s">
        <v>249</v>
      </c>
      <c r="AO12" t="s">
        <v>206</v>
      </c>
      <c r="AP12" t="s">
        <v>250</v>
      </c>
      <c r="AQ12" t="s">
        <v>74</v>
      </c>
      <c r="AR12" t="s">
        <v>207</v>
      </c>
      <c r="AS12" t="s">
        <v>208</v>
      </c>
      <c r="AT12" t="s">
        <v>86</v>
      </c>
      <c r="AU12">
        <v>2001</v>
      </c>
      <c r="AV12">
        <v>24</v>
      </c>
      <c r="AW12">
        <v>12</v>
      </c>
      <c r="AX12" t="s">
        <v>74</v>
      </c>
      <c r="AY12" t="s">
        <v>74</v>
      </c>
      <c r="AZ12" t="s">
        <v>74</v>
      </c>
      <c r="BA12" t="s">
        <v>74</v>
      </c>
      <c r="BB12">
        <v>934</v>
      </c>
      <c r="BC12">
        <v>940</v>
      </c>
      <c r="BD12" t="s">
        <v>74</v>
      </c>
      <c r="BE12" t="s">
        <v>251</v>
      </c>
      <c r="BF12" t="str">
        <f>HYPERLINK("http://dx.doi.org/10.1007/s003000100302","http://dx.doi.org/10.1007/s003000100302")</f>
        <v>http://dx.doi.org/10.1007/s003000100302</v>
      </c>
      <c r="BG12" t="s">
        <v>74</v>
      </c>
      <c r="BH12" t="s">
        <v>74</v>
      </c>
      <c r="BI12">
        <v>7</v>
      </c>
      <c r="BJ12" t="s">
        <v>209</v>
      </c>
      <c r="BK12" t="s">
        <v>88</v>
      </c>
      <c r="BL12" t="s">
        <v>210</v>
      </c>
      <c r="BM12" t="s">
        <v>211</v>
      </c>
      <c r="BN12" t="s">
        <v>74</v>
      </c>
      <c r="BO12" t="s">
        <v>74</v>
      </c>
      <c r="BP12" t="s">
        <v>74</v>
      </c>
      <c r="BQ12" t="s">
        <v>74</v>
      </c>
      <c r="BR12" t="s">
        <v>91</v>
      </c>
      <c r="BS12" t="s">
        <v>252</v>
      </c>
      <c r="BT12" t="str">
        <f>HYPERLINK("https%3A%2F%2Fwww.webofscience.com%2Fwos%2Fwoscc%2Ffull-record%2FWOS:000172557500008","View Full Record in Web of Science")</f>
        <v>View Full Record in Web of Science</v>
      </c>
    </row>
    <row r="13" spans="1:72" x14ac:dyDescent="0.15">
      <c r="A13" t="s">
        <v>72</v>
      </c>
      <c r="B13" t="s">
        <v>253</v>
      </c>
      <c r="C13" t="s">
        <v>74</v>
      </c>
      <c r="D13" t="s">
        <v>74</v>
      </c>
      <c r="E13" t="s">
        <v>74</v>
      </c>
      <c r="F13" t="s">
        <v>253</v>
      </c>
      <c r="G13" t="s">
        <v>74</v>
      </c>
      <c r="H13" t="s">
        <v>74</v>
      </c>
      <c r="I13" t="s">
        <v>254</v>
      </c>
      <c r="J13" t="s">
        <v>194</v>
      </c>
      <c r="K13" t="s">
        <v>74</v>
      </c>
      <c r="L13" t="s">
        <v>74</v>
      </c>
      <c r="M13" t="s">
        <v>77</v>
      </c>
      <c r="N13" t="s">
        <v>120</v>
      </c>
      <c r="O13" t="s">
        <v>74</v>
      </c>
      <c r="P13" t="s">
        <v>74</v>
      </c>
      <c r="Q13" t="s">
        <v>74</v>
      </c>
      <c r="R13" t="s">
        <v>74</v>
      </c>
      <c r="S13" t="s">
        <v>74</v>
      </c>
      <c r="T13" t="s">
        <v>74</v>
      </c>
      <c r="U13" t="s">
        <v>255</v>
      </c>
      <c r="V13" t="s">
        <v>256</v>
      </c>
      <c r="W13" t="s">
        <v>257</v>
      </c>
      <c r="X13" t="s">
        <v>258</v>
      </c>
      <c r="Y13" t="s">
        <v>74</v>
      </c>
      <c r="Z13" t="s">
        <v>259</v>
      </c>
      <c r="AA13" t="s">
        <v>74</v>
      </c>
      <c r="AB13" t="s">
        <v>74</v>
      </c>
      <c r="AC13" t="s">
        <v>74</v>
      </c>
      <c r="AD13" t="s">
        <v>74</v>
      </c>
      <c r="AE13" t="s">
        <v>74</v>
      </c>
      <c r="AF13" t="s">
        <v>74</v>
      </c>
      <c r="AG13">
        <v>75</v>
      </c>
      <c r="AH13">
        <v>26</v>
      </c>
      <c r="AI13">
        <v>28</v>
      </c>
      <c r="AJ13">
        <v>0</v>
      </c>
      <c r="AK13">
        <v>4</v>
      </c>
      <c r="AL13" t="s">
        <v>248</v>
      </c>
      <c r="AM13" t="s">
        <v>204</v>
      </c>
      <c r="AN13" t="s">
        <v>249</v>
      </c>
      <c r="AO13" t="s">
        <v>206</v>
      </c>
      <c r="AP13" t="s">
        <v>250</v>
      </c>
      <c r="AQ13" t="s">
        <v>74</v>
      </c>
      <c r="AR13" t="s">
        <v>207</v>
      </c>
      <c r="AS13" t="s">
        <v>208</v>
      </c>
      <c r="AT13" t="s">
        <v>86</v>
      </c>
      <c r="AU13">
        <v>2001</v>
      </c>
      <c r="AV13">
        <v>24</v>
      </c>
      <c r="AW13">
        <v>12</v>
      </c>
      <c r="AX13" t="s">
        <v>74</v>
      </c>
      <c r="AY13" t="s">
        <v>74</v>
      </c>
      <c r="AZ13" t="s">
        <v>74</v>
      </c>
      <c r="BA13" t="s">
        <v>74</v>
      </c>
      <c r="BB13">
        <v>941</v>
      </c>
      <c r="BC13">
        <v>945</v>
      </c>
      <c r="BD13" t="s">
        <v>74</v>
      </c>
      <c r="BE13" t="s">
        <v>260</v>
      </c>
      <c r="BF13" t="str">
        <f>HYPERLINK("http://dx.doi.org/10.1007/s003000100305","http://dx.doi.org/10.1007/s003000100305")</f>
        <v>http://dx.doi.org/10.1007/s003000100305</v>
      </c>
      <c r="BG13" t="s">
        <v>74</v>
      </c>
      <c r="BH13" t="s">
        <v>74</v>
      </c>
      <c r="BI13">
        <v>5</v>
      </c>
      <c r="BJ13" t="s">
        <v>209</v>
      </c>
      <c r="BK13" t="s">
        <v>88</v>
      </c>
      <c r="BL13" t="s">
        <v>210</v>
      </c>
      <c r="BM13" t="s">
        <v>211</v>
      </c>
      <c r="BN13" t="s">
        <v>74</v>
      </c>
      <c r="BO13" t="s">
        <v>74</v>
      </c>
      <c r="BP13" t="s">
        <v>74</v>
      </c>
      <c r="BQ13" t="s">
        <v>74</v>
      </c>
      <c r="BR13" t="s">
        <v>91</v>
      </c>
      <c r="BS13" t="s">
        <v>261</v>
      </c>
      <c r="BT13" t="str">
        <f>HYPERLINK("https%3A%2F%2Fwww.webofscience.com%2Fwos%2Fwoscc%2Ffull-record%2FWOS:000172557500009","View Full Record in Web of Science")</f>
        <v>View Full Record in Web of Science</v>
      </c>
    </row>
    <row r="14" spans="1:72" x14ac:dyDescent="0.15">
      <c r="A14" t="s">
        <v>72</v>
      </c>
      <c r="B14" t="s">
        <v>262</v>
      </c>
      <c r="C14" t="s">
        <v>74</v>
      </c>
      <c r="D14" t="s">
        <v>74</v>
      </c>
      <c r="E14" t="s">
        <v>74</v>
      </c>
      <c r="F14" t="s">
        <v>262</v>
      </c>
      <c r="G14" t="s">
        <v>74</v>
      </c>
      <c r="H14" t="s">
        <v>74</v>
      </c>
      <c r="I14" t="s">
        <v>263</v>
      </c>
      <c r="J14" t="s">
        <v>264</v>
      </c>
      <c r="K14" t="s">
        <v>74</v>
      </c>
      <c r="L14" t="s">
        <v>74</v>
      </c>
      <c r="M14" t="s">
        <v>77</v>
      </c>
      <c r="N14" t="s">
        <v>120</v>
      </c>
      <c r="O14" t="s">
        <v>74</v>
      </c>
      <c r="P14" t="s">
        <v>74</v>
      </c>
      <c r="Q14" t="s">
        <v>74</v>
      </c>
      <c r="R14" t="s">
        <v>74</v>
      </c>
      <c r="S14" t="s">
        <v>74</v>
      </c>
      <c r="T14" t="s">
        <v>265</v>
      </c>
      <c r="U14" t="s">
        <v>266</v>
      </c>
      <c r="V14" t="s">
        <v>267</v>
      </c>
      <c r="W14" t="s">
        <v>268</v>
      </c>
      <c r="X14" t="s">
        <v>269</v>
      </c>
      <c r="Y14" t="s">
        <v>270</v>
      </c>
      <c r="Z14" t="s">
        <v>74</v>
      </c>
      <c r="AA14" t="s">
        <v>271</v>
      </c>
      <c r="AB14" t="s">
        <v>272</v>
      </c>
      <c r="AC14" t="s">
        <v>74</v>
      </c>
      <c r="AD14" t="s">
        <v>74</v>
      </c>
      <c r="AE14" t="s">
        <v>74</v>
      </c>
      <c r="AF14" t="s">
        <v>74</v>
      </c>
      <c r="AG14">
        <v>39</v>
      </c>
      <c r="AH14">
        <v>22</v>
      </c>
      <c r="AI14">
        <v>24</v>
      </c>
      <c r="AJ14">
        <v>0</v>
      </c>
      <c r="AK14">
        <v>2</v>
      </c>
      <c r="AL14" t="s">
        <v>273</v>
      </c>
      <c r="AM14" t="s">
        <v>80</v>
      </c>
      <c r="AN14" t="s">
        <v>274</v>
      </c>
      <c r="AO14" t="s">
        <v>275</v>
      </c>
      <c r="AP14" t="s">
        <v>74</v>
      </c>
      <c r="AQ14" t="s">
        <v>74</v>
      </c>
      <c r="AR14" t="s">
        <v>276</v>
      </c>
      <c r="AS14" t="s">
        <v>277</v>
      </c>
      <c r="AT14" t="s">
        <v>86</v>
      </c>
      <c r="AU14">
        <v>2001</v>
      </c>
      <c r="AV14">
        <v>14</v>
      </c>
      <c r="AW14">
        <v>12</v>
      </c>
      <c r="AX14" t="s">
        <v>74</v>
      </c>
      <c r="AY14" t="s">
        <v>74</v>
      </c>
      <c r="AZ14" t="s">
        <v>74</v>
      </c>
      <c r="BA14" t="s">
        <v>74</v>
      </c>
      <c r="BB14">
        <v>975</v>
      </c>
      <c r="BC14">
        <v>982</v>
      </c>
      <c r="BD14" t="s">
        <v>74</v>
      </c>
      <c r="BE14" t="s">
        <v>278</v>
      </c>
      <c r="BF14" t="str">
        <f>HYPERLINK("http://dx.doi.org/10.1093/protein/14.12.975","http://dx.doi.org/10.1093/protein/14.12.975")</f>
        <v>http://dx.doi.org/10.1093/protein/14.12.975</v>
      </c>
      <c r="BG14" t="s">
        <v>74</v>
      </c>
      <c r="BH14" t="s">
        <v>74</v>
      </c>
      <c r="BI14">
        <v>8</v>
      </c>
      <c r="BJ14" t="s">
        <v>279</v>
      </c>
      <c r="BK14" t="s">
        <v>88</v>
      </c>
      <c r="BL14" t="s">
        <v>279</v>
      </c>
      <c r="BM14" t="s">
        <v>280</v>
      </c>
      <c r="BN14">
        <v>11809928</v>
      </c>
      <c r="BO14" t="s">
        <v>171</v>
      </c>
      <c r="BP14" t="s">
        <v>74</v>
      </c>
      <c r="BQ14" t="s">
        <v>74</v>
      </c>
      <c r="BR14" t="s">
        <v>91</v>
      </c>
      <c r="BS14" t="s">
        <v>281</v>
      </c>
      <c r="BT14" t="str">
        <f>HYPERLINK("https%3A%2F%2Fwww.webofscience.com%2Fwos%2Fwoscc%2Ffull-record%2FWOS:000173821900005","View Full Record in Web of Science")</f>
        <v>View Full Record in Web of Science</v>
      </c>
    </row>
    <row r="15" spans="1:72" x14ac:dyDescent="0.15">
      <c r="A15" t="s">
        <v>72</v>
      </c>
      <c r="B15" t="s">
        <v>282</v>
      </c>
      <c r="C15" t="s">
        <v>74</v>
      </c>
      <c r="D15" t="s">
        <v>74</v>
      </c>
      <c r="E15" t="s">
        <v>74</v>
      </c>
      <c r="F15" t="s">
        <v>282</v>
      </c>
      <c r="G15" t="s">
        <v>74</v>
      </c>
      <c r="H15" t="s">
        <v>74</v>
      </c>
      <c r="I15" t="s">
        <v>283</v>
      </c>
      <c r="J15" t="s">
        <v>284</v>
      </c>
      <c r="K15" t="s">
        <v>74</v>
      </c>
      <c r="L15" t="s">
        <v>74</v>
      </c>
      <c r="M15" t="s">
        <v>77</v>
      </c>
      <c r="N15" t="s">
        <v>120</v>
      </c>
      <c r="O15" t="s">
        <v>74</v>
      </c>
      <c r="P15" t="s">
        <v>74</v>
      </c>
      <c r="Q15" t="s">
        <v>74</v>
      </c>
      <c r="R15" t="s">
        <v>74</v>
      </c>
      <c r="S15" t="s">
        <v>74</v>
      </c>
      <c r="T15" t="s">
        <v>285</v>
      </c>
      <c r="U15" t="s">
        <v>286</v>
      </c>
      <c r="V15" t="s">
        <v>287</v>
      </c>
      <c r="W15" t="s">
        <v>288</v>
      </c>
      <c r="X15" t="s">
        <v>289</v>
      </c>
      <c r="Y15" t="s">
        <v>290</v>
      </c>
      <c r="Z15" t="s">
        <v>74</v>
      </c>
      <c r="AA15" t="s">
        <v>291</v>
      </c>
      <c r="AB15" t="s">
        <v>74</v>
      </c>
      <c r="AC15" t="s">
        <v>74</v>
      </c>
      <c r="AD15" t="s">
        <v>74</v>
      </c>
      <c r="AE15" t="s">
        <v>74</v>
      </c>
      <c r="AF15" t="s">
        <v>74</v>
      </c>
      <c r="AG15">
        <v>19</v>
      </c>
      <c r="AH15">
        <v>9</v>
      </c>
      <c r="AI15">
        <v>16</v>
      </c>
      <c r="AJ15">
        <v>2</v>
      </c>
      <c r="AK15">
        <v>19</v>
      </c>
      <c r="AL15" t="s">
        <v>292</v>
      </c>
      <c r="AM15" t="s">
        <v>293</v>
      </c>
      <c r="AN15" t="s">
        <v>294</v>
      </c>
      <c r="AO15" t="s">
        <v>295</v>
      </c>
      <c r="AP15" t="s">
        <v>74</v>
      </c>
      <c r="AQ15" t="s">
        <v>74</v>
      </c>
      <c r="AR15" t="s">
        <v>296</v>
      </c>
      <c r="AS15" t="s">
        <v>297</v>
      </c>
      <c r="AT15" t="s">
        <v>86</v>
      </c>
      <c r="AU15">
        <v>2001</v>
      </c>
      <c r="AV15">
        <v>44</v>
      </c>
      <c r="AW15" t="s">
        <v>74</v>
      </c>
      <c r="AX15" t="s">
        <v>74</v>
      </c>
      <c r="AY15" t="s">
        <v>298</v>
      </c>
      <c r="AZ15" t="s">
        <v>74</v>
      </c>
      <c r="BA15" t="s">
        <v>74</v>
      </c>
      <c r="BB15">
        <v>369</v>
      </c>
      <c r="BC15">
        <v>374</v>
      </c>
      <c r="BD15" t="s">
        <v>74</v>
      </c>
      <c r="BE15" t="s">
        <v>299</v>
      </c>
      <c r="BF15" t="str">
        <f>HYPERLINK("http://dx.doi.org/10.1007/BF02912008","http://dx.doi.org/10.1007/BF02912008")</f>
        <v>http://dx.doi.org/10.1007/BF02912008</v>
      </c>
      <c r="BG15" t="s">
        <v>74</v>
      </c>
      <c r="BH15" t="s">
        <v>74</v>
      </c>
      <c r="BI15">
        <v>6</v>
      </c>
      <c r="BJ15" t="s">
        <v>300</v>
      </c>
      <c r="BK15" t="s">
        <v>88</v>
      </c>
      <c r="BL15" t="s">
        <v>113</v>
      </c>
      <c r="BM15" t="s">
        <v>301</v>
      </c>
      <c r="BN15" t="s">
        <v>74</v>
      </c>
      <c r="BO15" t="s">
        <v>74</v>
      </c>
      <c r="BP15" t="s">
        <v>74</v>
      </c>
      <c r="BQ15" t="s">
        <v>74</v>
      </c>
      <c r="BR15" t="s">
        <v>91</v>
      </c>
      <c r="BS15" t="s">
        <v>302</v>
      </c>
      <c r="BT15" t="str">
        <f>HYPERLINK("https%3A%2F%2Fwww.webofscience.com%2Fwos%2Fwoscc%2Ffull-record%2FWOS:000175181800044","View Full Record in Web of Science")</f>
        <v>View Full Record in Web of Science</v>
      </c>
    </row>
    <row r="16" spans="1:72" x14ac:dyDescent="0.15">
      <c r="A16" t="s">
        <v>72</v>
      </c>
      <c r="B16" t="s">
        <v>303</v>
      </c>
      <c r="C16" t="s">
        <v>74</v>
      </c>
      <c r="D16" t="s">
        <v>74</v>
      </c>
      <c r="E16" t="s">
        <v>74</v>
      </c>
      <c r="F16" t="s">
        <v>303</v>
      </c>
      <c r="G16" t="s">
        <v>74</v>
      </c>
      <c r="H16" t="s">
        <v>74</v>
      </c>
      <c r="I16" t="s">
        <v>304</v>
      </c>
      <c r="J16" t="s">
        <v>305</v>
      </c>
      <c r="K16" t="s">
        <v>74</v>
      </c>
      <c r="L16" t="s">
        <v>74</v>
      </c>
      <c r="M16" t="s">
        <v>77</v>
      </c>
      <c r="N16" t="s">
        <v>120</v>
      </c>
      <c r="O16" t="s">
        <v>74</v>
      </c>
      <c r="P16" t="s">
        <v>74</v>
      </c>
      <c r="Q16" t="s">
        <v>74</v>
      </c>
      <c r="R16" t="s">
        <v>74</v>
      </c>
      <c r="S16" t="s">
        <v>74</v>
      </c>
      <c r="T16" t="s">
        <v>306</v>
      </c>
      <c r="U16" t="s">
        <v>307</v>
      </c>
      <c r="V16" t="s">
        <v>308</v>
      </c>
      <c r="W16" t="s">
        <v>309</v>
      </c>
      <c r="X16" t="s">
        <v>310</v>
      </c>
      <c r="Y16" t="s">
        <v>311</v>
      </c>
      <c r="Z16" t="s">
        <v>312</v>
      </c>
      <c r="AA16" t="s">
        <v>313</v>
      </c>
      <c r="AB16" t="s">
        <v>314</v>
      </c>
      <c r="AC16" t="s">
        <v>74</v>
      </c>
      <c r="AD16" t="s">
        <v>74</v>
      </c>
      <c r="AE16" t="s">
        <v>74</v>
      </c>
      <c r="AF16" t="s">
        <v>74</v>
      </c>
      <c r="AG16">
        <v>39</v>
      </c>
      <c r="AH16">
        <v>11</v>
      </c>
      <c r="AI16">
        <v>11</v>
      </c>
      <c r="AJ16">
        <v>0</v>
      </c>
      <c r="AK16">
        <v>3</v>
      </c>
      <c r="AL16" t="s">
        <v>315</v>
      </c>
      <c r="AM16" t="s">
        <v>316</v>
      </c>
      <c r="AN16" t="s">
        <v>317</v>
      </c>
      <c r="AO16" t="s">
        <v>318</v>
      </c>
      <c r="AP16" t="s">
        <v>319</v>
      </c>
      <c r="AQ16" t="s">
        <v>74</v>
      </c>
      <c r="AR16" t="s">
        <v>320</v>
      </c>
      <c r="AS16" t="s">
        <v>321</v>
      </c>
      <c r="AT16" t="s">
        <v>86</v>
      </c>
      <c r="AU16">
        <v>2001</v>
      </c>
      <c r="AV16">
        <v>65</v>
      </c>
      <c r="AW16">
        <v>4</v>
      </c>
      <c r="AX16" t="s">
        <v>74</v>
      </c>
      <c r="AY16" t="s">
        <v>74</v>
      </c>
      <c r="AZ16" t="s">
        <v>74</v>
      </c>
      <c r="BA16" t="s">
        <v>74</v>
      </c>
      <c r="BB16">
        <v>341</v>
      </c>
      <c r="BC16">
        <v>346</v>
      </c>
      <c r="BD16" t="s">
        <v>74</v>
      </c>
      <c r="BE16" t="s">
        <v>322</v>
      </c>
      <c r="BF16" t="str">
        <f>HYPERLINK("http://dx.doi.org/10.3989/scimar.2001.65n4341","http://dx.doi.org/10.3989/scimar.2001.65n4341")</f>
        <v>http://dx.doi.org/10.3989/scimar.2001.65n4341</v>
      </c>
      <c r="BG16" t="s">
        <v>74</v>
      </c>
      <c r="BH16" t="s">
        <v>74</v>
      </c>
      <c r="BI16">
        <v>6</v>
      </c>
      <c r="BJ16" t="s">
        <v>323</v>
      </c>
      <c r="BK16" t="s">
        <v>88</v>
      </c>
      <c r="BL16" t="s">
        <v>323</v>
      </c>
      <c r="BM16" t="s">
        <v>324</v>
      </c>
      <c r="BN16" t="s">
        <v>74</v>
      </c>
      <c r="BO16" t="s">
        <v>325</v>
      </c>
      <c r="BP16" t="s">
        <v>74</v>
      </c>
      <c r="BQ16" t="s">
        <v>74</v>
      </c>
      <c r="BR16" t="s">
        <v>91</v>
      </c>
      <c r="BS16" t="s">
        <v>326</v>
      </c>
      <c r="BT16" t="str">
        <f>HYPERLINK("https%3A%2F%2Fwww.webofscience.com%2Fwos%2Fwoscc%2Ffull-record%2FWOS:000173505900008","View Full Record in Web of Science")</f>
        <v>View Full Record in Web of Science</v>
      </c>
    </row>
    <row r="17" spans="1:72" x14ac:dyDescent="0.15">
      <c r="A17" t="s">
        <v>72</v>
      </c>
      <c r="B17" t="s">
        <v>327</v>
      </c>
      <c r="C17" t="s">
        <v>74</v>
      </c>
      <c r="D17" t="s">
        <v>74</v>
      </c>
      <c r="E17" t="s">
        <v>74</v>
      </c>
      <c r="F17" t="s">
        <v>327</v>
      </c>
      <c r="G17" t="s">
        <v>74</v>
      </c>
      <c r="H17" t="s">
        <v>74</v>
      </c>
      <c r="I17" t="s">
        <v>328</v>
      </c>
      <c r="J17" t="s">
        <v>305</v>
      </c>
      <c r="K17" t="s">
        <v>74</v>
      </c>
      <c r="L17" t="s">
        <v>74</v>
      </c>
      <c r="M17" t="s">
        <v>77</v>
      </c>
      <c r="N17" t="s">
        <v>120</v>
      </c>
      <c r="O17" t="s">
        <v>74</v>
      </c>
      <c r="P17" t="s">
        <v>74</v>
      </c>
      <c r="Q17" t="s">
        <v>74</v>
      </c>
      <c r="R17" t="s">
        <v>74</v>
      </c>
      <c r="S17" t="s">
        <v>74</v>
      </c>
      <c r="T17" t="s">
        <v>329</v>
      </c>
      <c r="U17" t="s">
        <v>330</v>
      </c>
      <c r="V17" t="s">
        <v>331</v>
      </c>
      <c r="W17" t="s">
        <v>332</v>
      </c>
      <c r="X17" t="s">
        <v>333</v>
      </c>
      <c r="Y17" t="s">
        <v>74</v>
      </c>
      <c r="Z17" t="s">
        <v>334</v>
      </c>
      <c r="AA17" t="s">
        <v>335</v>
      </c>
      <c r="AB17" t="s">
        <v>336</v>
      </c>
      <c r="AC17" t="s">
        <v>74</v>
      </c>
      <c r="AD17" t="s">
        <v>74</v>
      </c>
      <c r="AE17" t="s">
        <v>74</v>
      </c>
      <c r="AF17" t="s">
        <v>74</v>
      </c>
      <c r="AG17">
        <v>22</v>
      </c>
      <c r="AH17">
        <v>4</v>
      </c>
      <c r="AI17">
        <v>5</v>
      </c>
      <c r="AJ17">
        <v>0</v>
      </c>
      <c r="AK17">
        <v>2</v>
      </c>
      <c r="AL17" t="s">
        <v>315</v>
      </c>
      <c r="AM17" t="s">
        <v>316</v>
      </c>
      <c r="AN17" t="s">
        <v>317</v>
      </c>
      <c r="AO17" t="s">
        <v>318</v>
      </c>
      <c r="AP17" t="s">
        <v>319</v>
      </c>
      <c r="AQ17" t="s">
        <v>74</v>
      </c>
      <c r="AR17" t="s">
        <v>320</v>
      </c>
      <c r="AS17" t="s">
        <v>321</v>
      </c>
      <c r="AT17" t="s">
        <v>86</v>
      </c>
      <c r="AU17">
        <v>2001</v>
      </c>
      <c r="AV17">
        <v>65</v>
      </c>
      <c r="AW17">
        <v>4</v>
      </c>
      <c r="AX17" t="s">
        <v>74</v>
      </c>
      <c r="AY17" t="s">
        <v>74</v>
      </c>
      <c r="AZ17" t="s">
        <v>74</v>
      </c>
      <c r="BA17" t="s">
        <v>74</v>
      </c>
      <c r="BB17">
        <v>357</v>
      </c>
      <c r="BC17">
        <v>366</v>
      </c>
      <c r="BD17" t="s">
        <v>74</v>
      </c>
      <c r="BE17" t="s">
        <v>337</v>
      </c>
      <c r="BF17" t="str">
        <f>HYPERLINK("http://dx.doi.org/10.3989/scimar.2001.65n4357","http://dx.doi.org/10.3989/scimar.2001.65n4357")</f>
        <v>http://dx.doi.org/10.3989/scimar.2001.65n4357</v>
      </c>
      <c r="BG17" t="s">
        <v>74</v>
      </c>
      <c r="BH17" t="s">
        <v>74</v>
      </c>
      <c r="BI17">
        <v>10</v>
      </c>
      <c r="BJ17" t="s">
        <v>323</v>
      </c>
      <c r="BK17" t="s">
        <v>88</v>
      </c>
      <c r="BL17" t="s">
        <v>323</v>
      </c>
      <c r="BM17" t="s">
        <v>324</v>
      </c>
      <c r="BN17" t="s">
        <v>74</v>
      </c>
      <c r="BO17" t="s">
        <v>338</v>
      </c>
      <c r="BP17" t="s">
        <v>74</v>
      </c>
      <c r="BQ17" t="s">
        <v>74</v>
      </c>
      <c r="BR17" t="s">
        <v>91</v>
      </c>
      <c r="BS17" t="s">
        <v>339</v>
      </c>
      <c r="BT17" t="str">
        <f>HYPERLINK("https%3A%2F%2Fwww.webofscience.com%2Fwos%2Fwoscc%2Ffull-record%2FWOS:000173505900010","View Full Record in Web of Science")</f>
        <v>View Full Record in Web of Science</v>
      </c>
    </row>
    <row r="18" spans="1:72" x14ac:dyDescent="0.15">
      <c r="A18" t="s">
        <v>72</v>
      </c>
      <c r="B18" t="s">
        <v>340</v>
      </c>
      <c r="C18" t="s">
        <v>74</v>
      </c>
      <c r="D18" t="s">
        <v>74</v>
      </c>
      <c r="E18" t="s">
        <v>74</v>
      </c>
      <c r="F18" t="s">
        <v>340</v>
      </c>
      <c r="G18" t="s">
        <v>74</v>
      </c>
      <c r="H18" t="s">
        <v>74</v>
      </c>
      <c r="I18" t="s">
        <v>341</v>
      </c>
      <c r="J18" t="s">
        <v>342</v>
      </c>
      <c r="K18" t="s">
        <v>74</v>
      </c>
      <c r="L18" t="s">
        <v>74</v>
      </c>
      <c r="M18" t="s">
        <v>77</v>
      </c>
      <c r="N18" t="s">
        <v>120</v>
      </c>
      <c r="O18" t="s">
        <v>74</v>
      </c>
      <c r="P18" t="s">
        <v>74</v>
      </c>
      <c r="Q18" t="s">
        <v>74</v>
      </c>
      <c r="R18" t="s">
        <v>74</v>
      </c>
      <c r="S18" t="s">
        <v>74</v>
      </c>
      <c r="T18" t="s">
        <v>74</v>
      </c>
      <c r="U18" t="s">
        <v>343</v>
      </c>
      <c r="V18" t="s">
        <v>344</v>
      </c>
      <c r="W18" t="s">
        <v>345</v>
      </c>
      <c r="X18" t="s">
        <v>346</v>
      </c>
      <c r="Y18" t="s">
        <v>347</v>
      </c>
      <c r="Z18" t="s">
        <v>348</v>
      </c>
      <c r="AA18" t="s">
        <v>74</v>
      </c>
      <c r="AB18" t="s">
        <v>74</v>
      </c>
      <c r="AC18" t="s">
        <v>74</v>
      </c>
      <c r="AD18" t="s">
        <v>74</v>
      </c>
      <c r="AE18" t="s">
        <v>74</v>
      </c>
      <c r="AF18" t="s">
        <v>74</v>
      </c>
      <c r="AG18">
        <v>55</v>
      </c>
      <c r="AH18">
        <v>30</v>
      </c>
      <c r="AI18">
        <v>31</v>
      </c>
      <c r="AJ18">
        <v>0</v>
      </c>
      <c r="AK18">
        <v>9</v>
      </c>
      <c r="AL18" t="s">
        <v>349</v>
      </c>
      <c r="AM18" t="s">
        <v>350</v>
      </c>
      <c r="AN18" t="s">
        <v>351</v>
      </c>
      <c r="AO18" t="s">
        <v>352</v>
      </c>
      <c r="AP18" t="s">
        <v>353</v>
      </c>
      <c r="AQ18" t="s">
        <v>74</v>
      </c>
      <c r="AR18" t="s">
        <v>354</v>
      </c>
      <c r="AS18" t="s">
        <v>355</v>
      </c>
      <c r="AT18" t="s">
        <v>86</v>
      </c>
      <c r="AU18">
        <v>2001</v>
      </c>
      <c r="AV18">
        <v>67</v>
      </c>
      <c r="AW18">
        <v>4</v>
      </c>
      <c r="AX18" t="s">
        <v>74</v>
      </c>
      <c r="AY18" t="s">
        <v>74</v>
      </c>
      <c r="AZ18" t="s">
        <v>74</v>
      </c>
      <c r="BA18" t="s">
        <v>74</v>
      </c>
      <c r="BB18">
        <v>552</v>
      </c>
      <c r="BC18">
        <v>572</v>
      </c>
      <c r="BD18" t="s">
        <v>74</v>
      </c>
      <c r="BE18" t="s">
        <v>356</v>
      </c>
      <c r="BF18" t="str">
        <f>HYPERLINK("http://dx.doi.org/10.1016/S0254-6299(15)31187-X","http://dx.doi.org/10.1016/S0254-6299(15)31187-X")</f>
        <v>http://dx.doi.org/10.1016/S0254-6299(15)31187-X</v>
      </c>
      <c r="BG18" t="s">
        <v>74</v>
      </c>
      <c r="BH18" t="s">
        <v>74</v>
      </c>
      <c r="BI18">
        <v>21</v>
      </c>
      <c r="BJ18" t="s">
        <v>357</v>
      </c>
      <c r="BK18" t="s">
        <v>88</v>
      </c>
      <c r="BL18" t="s">
        <v>357</v>
      </c>
      <c r="BM18" t="s">
        <v>358</v>
      </c>
      <c r="BN18" t="s">
        <v>74</v>
      </c>
      <c r="BO18" t="s">
        <v>359</v>
      </c>
      <c r="BP18" t="s">
        <v>74</v>
      </c>
      <c r="BQ18" t="s">
        <v>74</v>
      </c>
      <c r="BR18" t="s">
        <v>91</v>
      </c>
      <c r="BS18" t="s">
        <v>360</v>
      </c>
      <c r="BT18" t="str">
        <f>HYPERLINK("https%3A%2F%2Fwww.webofscience.com%2Fwos%2Fwoscc%2Ffull-record%2FWOS:000173357200006","View Full Record in Web of Science")</f>
        <v>View Full Record in Web of Science</v>
      </c>
    </row>
    <row r="19" spans="1:72" x14ac:dyDescent="0.15">
      <c r="A19" t="s">
        <v>72</v>
      </c>
      <c r="B19" t="s">
        <v>361</v>
      </c>
      <c r="C19" t="s">
        <v>74</v>
      </c>
      <c r="D19" t="s">
        <v>74</v>
      </c>
      <c r="E19" t="s">
        <v>74</v>
      </c>
      <c r="F19" t="s">
        <v>361</v>
      </c>
      <c r="G19" t="s">
        <v>74</v>
      </c>
      <c r="H19" t="s">
        <v>74</v>
      </c>
      <c r="I19" t="s">
        <v>362</v>
      </c>
      <c r="J19" t="s">
        <v>342</v>
      </c>
      <c r="K19" t="s">
        <v>74</v>
      </c>
      <c r="L19" t="s">
        <v>74</v>
      </c>
      <c r="M19" t="s">
        <v>77</v>
      </c>
      <c r="N19" t="s">
        <v>120</v>
      </c>
      <c r="O19" t="s">
        <v>74</v>
      </c>
      <c r="P19" t="s">
        <v>74</v>
      </c>
      <c r="Q19" t="s">
        <v>74</v>
      </c>
      <c r="R19" t="s">
        <v>74</v>
      </c>
      <c r="S19" t="s">
        <v>74</v>
      </c>
      <c r="T19" t="s">
        <v>74</v>
      </c>
      <c r="U19" t="s">
        <v>363</v>
      </c>
      <c r="V19" t="s">
        <v>364</v>
      </c>
      <c r="W19" t="s">
        <v>365</v>
      </c>
      <c r="X19" t="s">
        <v>366</v>
      </c>
      <c r="Y19" t="s">
        <v>367</v>
      </c>
      <c r="Z19" t="s">
        <v>74</v>
      </c>
      <c r="AA19" t="s">
        <v>74</v>
      </c>
      <c r="AB19" t="s">
        <v>74</v>
      </c>
      <c r="AC19" t="s">
        <v>74</v>
      </c>
      <c r="AD19" t="s">
        <v>74</v>
      </c>
      <c r="AE19" t="s">
        <v>74</v>
      </c>
      <c r="AF19" t="s">
        <v>74</v>
      </c>
      <c r="AG19">
        <v>44</v>
      </c>
      <c r="AH19">
        <v>41</v>
      </c>
      <c r="AI19">
        <v>48</v>
      </c>
      <c r="AJ19">
        <v>1</v>
      </c>
      <c r="AK19">
        <v>31</v>
      </c>
      <c r="AL19" t="s">
        <v>368</v>
      </c>
      <c r="AM19" t="s">
        <v>369</v>
      </c>
      <c r="AN19" t="s">
        <v>370</v>
      </c>
      <c r="AO19" t="s">
        <v>352</v>
      </c>
      <c r="AP19" t="s">
        <v>74</v>
      </c>
      <c r="AQ19" t="s">
        <v>74</v>
      </c>
      <c r="AR19" t="s">
        <v>354</v>
      </c>
      <c r="AS19" t="s">
        <v>355</v>
      </c>
      <c r="AT19" t="s">
        <v>86</v>
      </c>
      <c r="AU19">
        <v>2001</v>
      </c>
      <c r="AV19">
        <v>67</v>
      </c>
      <c r="AW19">
        <v>4</v>
      </c>
      <c r="AX19" t="s">
        <v>74</v>
      </c>
      <c r="AY19" t="s">
        <v>74</v>
      </c>
      <c r="AZ19" t="s">
        <v>74</v>
      </c>
      <c r="BA19" t="s">
        <v>74</v>
      </c>
      <c r="BB19">
        <v>641</v>
      </c>
      <c r="BC19">
        <v>654</v>
      </c>
      <c r="BD19" t="s">
        <v>74</v>
      </c>
      <c r="BE19" t="s">
        <v>371</v>
      </c>
      <c r="BF19" t="str">
        <f>HYPERLINK("http://dx.doi.org/10.1016/S0254-6299(15)31195-9","http://dx.doi.org/10.1016/S0254-6299(15)31195-9")</f>
        <v>http://dx.doi.org/10.1016/S0254-6299(15)31195-9</v>
      </c>
      <c r="BG19" t="s">
        <v>74</v>
      </c>
      <c r="BH19" t="s">
        <v>74</v>
      </c>
      <c r="BI19">
        <v>14</v>
      </c>
      <c r="BJ19" t="s">
        <v>357</v>
      </c>
      <c r="BK19" t="s">
        <v>88</v>
      </c>
      <c r="BL19" t="s">
        <v>357</v>
      </c>
      <c r="BM19" t="s">
        <v>358</v>
      </c>
      <c r="BN19" t="s">
        <v>74</v>
      </c>
      <c r="BO19" t="s">
        <v>359</v>
      </c>
      <c r="BP19" t="s">
        <v>74</v>
      </c>
      <c r="BQ19" t="s">
        <v>74</v>
      </c>
      <c r="BR19" t="s">
        <v>91</v>
      </c>
      <c r="BS19" t="s">
        <v>372</v>
      </c>
      <c r="BT19" t="str">
        <f>HYPERLINK("https%3A%2F%2Fwww.webofscience.com%2Fwos%2Fwoscc%2Ffull-record%2FWOS:000173357200014","View Full Record in Web of Science")</f>
        <v>View Full Record in Web of Science</v>
      </c>
    </row>
    <row r="20" spans="1:72" x14ac:dyDescent="0.15">
      <c r="A20" t="s">
        <v>72</v>
      </c>
      <c r="B20" t="s">
        <v>373</v>
      </c>
      <c r="C20" t="s">
        <v>74</v>
      </c>
      <c r="D20" t="s">
        <v>74</v>
      </c>
      <c r="E20" t="s">
        <v>74</v>
      </c>
      <c r="F20" t="s">
        <v>373</v>
      </c>
      <c r="G20" t="s">
        <v>74</v>
      </c>
      <c r="H20" t="s">
        <v>74</v>
      </c>
      <c r="I20" t="s">
        <v>374</v>
      </c>
      <c r="J20" t="s">
        <v>375</v>
      </c>
      <c r="K20" t="s">
        <v>74</v>
      </c>
      <c r="L20" t="s">
        <v>74</v>
      </c>
      <c r="M20" t="s">
        <v>77</v>
      </c>
      <c r="N20" t="s">
        <v>120</v>
      </c>
      <c r="O20" t="s">
        <v>74</v>
      </c>
      <c r="P20" t="s">
        <v>74</v>
      </c>
      <c r="Q20" t="s">
        <v>74</v>
      </c>
      <c r="R20" t="s">
        <v>74</v>
      </c>
      <c r="S20" t="s">
        <v>74</v>
      </c>
      <c r="T20" t="s">
        <v>74</v>
      </c>
      <c r="U20" t="s">
        <v>376</v>
      </c>
      <c r="V20" t="s">
        <v>377</v>
      </c>
      <c r="W20" t="s">
        <v>378</v>
      </c>
      <c r="X20" t="s">
        <v>379</v>
      </c>
      <c r="Y20" t="s">
        <v>380</v>
      </c>
      <c r="Z20" t="s">
        <v>381</v>
      </c>
      <c r="AA20" t="s">
        <v>382</v>
      </c>
      <c r="AB20" t="s">
        <v>383</v>
      </c>
      <c r="AC20" t="s">
        <v>74</v>
      </c>
      <c r="AD20" t="s">
        <v>74</v>
      </c>
      <c r="AE20" t="s">
        <v>74</v>
      </c>
      <c r="AF20" t="s">
        <v>74</v>
      </c>
      <c r="AG20">
        <v>88</v>
      </c>
      <c r="AH20">
        <v>40</v>
      </c>
      <c r="AI20">
        <v>44</v>
      </c>
      <c r="AJ20">
        <v>0</v>
      </c>
      <c r="AK20">
        <v>7</v>
      </c>
      <c r="AL20" t="s">
        <v>149</v>
      </c>
      <c r="AM20" t="s">
        <v>150</v>
      </c>
      <c r="AN20" t="s">
        <v>151</v>
      </c>
      <c r="AO20" t="s">
        <v>384</v>
      </c>
      <c r="AP20" t="s">
        <v>385</v>
      </c>
      <c r="AQ20" t="s">
        <v>74</v>
      </c>
      <c r="AR20" t="s">
        <v>375</v>
      </c>
      <c r="AS20" t="s">
        <v>386</v>
      </c>
      <c r="AT20" t="s">
        <v>86</v>
      </c>
      <c r="AU20">
        <v>2001</v>
      </c>
      <c r="AV20">
        <v>20</v>
      </c>
      <c r="AW20">
        <v>6</v>
      </c>
      <c r="AX20" t="s">
        <v>74</v>
      </c>
      <c r="AY20" t="s">
        <v>74</v>
      </c>
      <c r="AZ20" t="s">
        <v>74</v>
      </c>
      <c r="BA20" t="s">
        <v>74</v>
      </c>
      <c r="BB20">
        <v>933</v>
      </c>
      <c r="BC20">
        <v>958</v>
      </c>
      <c r="BD20" t="s">
        <v>74</v>
      </c>
      <c r="BE20" t="s">
        <v>387</v>
      </c>
      <c r="BF20" t="str">
        <f>HYPERLINK("http://dx.doi.org/10.1029/2000TC001260","http://dx.doi.org/10.1029/2000TC001260")</f>
        <v>http://dx.doi.org/10.1029/2000TC001260</v>
      </c>
      <c r="BG20" t="s">
        <v>74</v>
      </c>
      <c r="BH20" t="s">
        <v>74</v>
      </c>
      <c r="BI20">
        <v>26</v>
      </c>
      <c r="BJ20" t="s">
        <v>388</v>
      </c>
      <c r="BK20" t="s">
        <v>88</v>
      </c>
      <c r="BL20" t="s">
        <v>388</v>
      </c>
      <c r="BM20" t="s">
        <v>389</v>
      </c>
      <c r="BN20" t="s">
        <v>74</v>
      </c>
      <c r="BO20" t="s">
        <v>171</v>
      </c>
      <c r="BP20" t="s">
        <v>74</v>
      </c>
      <c r="BQ20" t="s">
        <v>74</v>
      </c>
      <c r="BR20" t="s">
        <v>91</v>
      </c>
      <c r="BS20" t="s">
        <v>390</v>
      </c>
      <c r="BT20" t="str">
        <f>HYPERLINK("https%3A%2F%2Fwww.webofscience.com%2Fwos%2Fwoscc%2Ffull-record%2FWOS:000172845300008","View Full Record in Web of Science")</f>
        <v>View Full Record in Web of Science</v>
      </c>
    </row>
    <row r="21" spans="1:72" x14ac:dyDescent="0.15">
      <c r="A21" t="s">
        <v>72</v>
      </c>
      <c r="B21" t="s">
        <v>391</v>
      </c>
      <c r="C21" t="s">
        <v>74</v>
      </c>
      <c r="D21" t="s">
        <v>74</v>
      </c>
      <c r="E21" t="s">
        <v>74</v>
      </c>
      <c r="F21" t="s">
        <v>391</v>
      </c>
      <c r="G21" t="s">
        <v>74</v>
      </c>
      <c r="H21" t="s">
        <v>74</v>
      </c>
      <c r="I21" t="s">
        <v>392</v>
      </c>
      <c r="J21" t="s">
        <v>393</v>
      </c>
      <c r="K21" t="s">
        <v>74</v>
      </c>
      <c r="L21" t="s">
        <v>74</v>
      </c>
      <c r="M21" t="s">
        <v>77</v>
      </c>
      <c r="N21" t="s">
        <v>120</v>
      </c>
      <c r="O21" t="s">
        <v>74</v>
      </c>
      <c r="P21" t="s">
        <v>74</v>
      </c>
      <c r="Q21" t="s">
        <v>74</v>
      </c>
      <c r="R21" t="s">
        <v>74</v>
      </c>
      <c r="S21" t="s">
        <v>74</v>
      </c>
      <c r="T21" t="s">
        <v>394</v>
      </c>
      <c r="U21" t="s">
        <v>395</v>
      </c>
      <c r="V21" t="s">
        <v>396</v>
      </c>
      <c r="W21" t="s">
        <v>397</v>
      </c>
      <c r="X21" t="s">
        <v>398</v>
      </c>
      <c r="Y21" t="s">
        <v>399</v>
      </c>
      <c r="Z21" t="s">
        <v>74</v>
      </c>
      <c r="AA21" t="s">
        <v>74</v>
      </c>
      <c r="AB21" t="s">
        <v>400</v>
      </c>
      <c r="AC21" t="s">
        <v>74</v>
      </c>
      <c r="AD21" t="s">
        <v>74</v>
      </c>
      <c r="AE21" t="s">
        <v>74</v>
      </c>
      <c r="AF21" t="s">
        <v>74</v>
      </c>
      <c r="AG21">
        <v>36</v>
      </c>
      <c r="AH21">
        <v>9</v>
      </c>
      <c r="AI21">
        <v>10</v>
      </c>
      <c r="AJ21">
        <v>0</v>
      </c>
      <c r="AK21">
        <v>10</v>
      </c>
      <c r="AL21" t="s">
        <v>401</v>
      </c>
      <c r="AM21" t="s">
        <v>402</v>
      </c>
      <c r="AN21" t="s">
        <v>403</v>
      </c>
      <c r="AO21" t="s">
        <v>404</v>
      </c>
      <c r="AP21" t="s">
        <v>74</v>
      </c>
      <c r="AQ21" t="s">
        <v>74</v>
      </c>
      <c r="AR21" t="s">
        <v>405</v>
      </c>
      <c r="AS21" t="s">
        <v>406</v>
      </c>
      <c r="AT21" t="s">
        <v>86</v>
      </c>
      <c r="AU21">
        <v>2001</v>
      </c>
      <c r="AV21">
        <v>14</v>
      </c>
      <c r="AW21">
        <v>2</v>
      </c>
      <c r="AX21" t="s">
        <v>74</v>
      </c>
      <c r="AY21" t="s">
        <v>74</v>
      </c>
      <c r="AZ21" t="s">
        <v>74</v>
      </c>
      <c r="BA21" t="s">
        <v>74</v>
      </c>
      <c r="BB21">
        <v>197</v>
      </c>
      <c r="BC21">
        <v>209</v>
      </c>
      <c r="BD21" t="s">
        <v>74</v>
      </c>
      <c r="BE21" t="s">
        <v>407</v>
      </c>
      <c r="BF21" t="str">
        <f>HYPERLINK("http://dx.doi.org/10.1080/03946975.2001.10531152","http://dx.doi.org/10.1080/03946975.2001.10531152")</f>
        <v>http://dx.doi.org/10.1080/03946975.2001.10531152</v>
      </c>
      <c r="BG21" t="s">
        <v>74</v>
      </c>
      <c r="BH21" t="s">
        <v>74</v>
      </c>
      <c r="BI21">
        <v>13</v>
      </c>
      <c r="BJ21" t="s">
        <v>408</v>
      </c>
      <c r="BK21" t="s">
        <v>88</v>
      </c>
      <c r="BL21" t="s">
        <v>408</v>
      </c>
      <c r="BM21" t="s">
        <v>409</v>
      </c>
      <c r="BN21" t="s">
        <v>74</v>
      </c>
      <c r="BO21" t="s">
        <v>171</v>
      </c>
      <c r="BP21" t="s">
        <v>74</v>
      </c>
      <c r="BQ21" t="s">
        <v>74</v>
      </c>
      <c r="BR21" t="s">
        <v>91</v>
      </c>
      <c r="BS21" t="s">
        <v>410</v>
      </c>
      <c r="BT21" t="str">
        <f>HYPERLINK("https%3A%2F%2Fwww.webofscience.com%2Fwos%2Fwoscc%2Ffull-record%2FWOS:000174295000001","View Full Record in Web of Science")</f>
        <v>View Full Record in Web of Science</v>
      </c>
    </row>
    <row r="22" spans="1:72" x14ac:dyDescent="0.15">
      <c r="A22" t="s">
        <v>72</v>
      </c>
      <c r="B22" t="s">
        <v>411</v>
      </c>
      <c r="C22" t="s">
        <v>74</v>
      </c>
      <c r="D22" t="s">
        <v>74</v>
      </c>
      <c r="E22" t="s">
        <v>74</v>
      </c>
      <c r="F22" t="s">
        <v>411</v>
      </c>
      <c r="G22" t="s">
        <v>74</v>
      </c>
      <c r="H22" t="s">
        <v>74</v>
      </c>
      <c r="I22" t="s">
        <v>412</v>
      </c>
      <c r="J22" t="s">
        <v>413</v>
      </c>
      <c r="K22" t="s">
        <v>74</v>
      </c>
      <c r="L22" t="s">
        <v>74</v>
      </c>
      <c r="M22" t="s">
        <v>77</v>
      </c>
      <c r="N22" t="s">
        <v>414</v>
      </c>
      <c r="O22" t="s">
        <v>74</v>
      </c>
      <c r="P22" t="s">
        <v>74</v>
      </c>
      <c r="Q22" t="s">
        <v>74</v>
      </c>
      <c r="R22" t="s">
        <v>74</v>
      </c>
      <c r="S22" t="s">
        <v>74</v>
      </c>
      <c r="T22" t="s">
        <v>415</v>
      </c>
      <c r="U22" t="s">
        <v>416</v>
      </c>
      <c r="V22" t="s">
        <v>417</v>
      </c>
      <c r="W22" t="s">
        <v>418</v>
      </c>
      <c r="X22" t="s">
        <v>419</v>
      </c>
      <c r="Y22" t="s">
        <v>420</v>
      </c>
      <c r="Z22" t="s">
        <v>421</v>
      </c>
      <c r="AA22" t="s">
        <v>422</v>
      </c>
      <c r="AB22" t="s">
        <v>74</v>
      </c>
      <c r="AC22" t="s">
        <v>74</v>
      </c>
      <c r="AD22" t="s">
        <v>74</v>
      </c>
      <c r="AE22" t="s">
        <v>74</v>
      </c>
      <c r="AF22" t="s">
        <v>74</v>
      </c>
      <c r="AG22">
        <v>117</v>
      </c>
      <c r="AH22">
        <v>50</v>
      </c>
      <c r="AI22">
        <v>53</v>
      </c>
      <c r="AJ22">
        <v>0</v>
      </c>
      <c r="AK22">
        <v>28</v>
      </c>
      <c r="AL22" t="s">
        <v>423</v>
      </c>
      <c r="AM22" t="s">
        <v>424</v>
      </c>
      <c r="AN22" t="s">
        <v>425</v>
      </c>
      <c r="AO22" t="s">
        <v>426</v>
      </c>
      <c r="AP22" t="s">
        <v>74</v>
      </c>
      <c r="AQ22" t="s">
        <v>74</v>
      </c>
      <c r="AR22" t="s">
        <v>427</v>
      </c>
      <c r="AS22" t="s">
        <v>428</v>
      </c>
      <c r="AT22" t="s">
        <v>86</v>
      </c>
      <c r="AU22">
        <v>2001</v>
      </c>
      <c r="AV22">
        <v>51</v>
      </c>
      <c r="AW22">
        <v>4</v>
      </c>
      <c r="AX22" t="s">
        <v>74</v>
      </c>
      <c r="AY22" t="s">
        <v>74</v>
      </c>
      <c r="AZ22" t="s">
        <v>74</v>
      </c>
      <c r="BA22" t="s">
        <v>74</v>
      </c>
      <c r="BB22">
        <v>205</v>
      </c>
      <c r="BC22">
        <v>215</v>
      </c>
      <c r="BD22" t="s">
        <v>74</v>
      </c>
      <c r="BE22" t="s">
        <v>74</v>
      </c>
      <c r="BF22" t="s">
        <v>74</v>
      </c>
      <c r="BG22" t="s">
        <v>74</v>
      </c>
      <c r="BH22" t="s">
        <v>74</v>
      </c>
      <c r="BI22">
        <v>11</v>
      </c>
      <c r="BJ22" t="s">
        <v>429</v>
      </c>
      <c r="BK22" t="s">
        <v>88</v>
      </c>
      <c r="BL22" t="s">
        <v>89</v>
      </c>
      <c r="BM22" t="s">
        <v>430</v>
      </c>
      <c r="BN22" t="s">
        <v>74</v>
      </c>
      <c r="BO22" t="s">
        <v>74</v>
      </c>
      <c r="BP22" t="s">
        <v>74</v>
      </c>
      <c r="BQ22" t="s">
        <v>74</v>
      </c>
      <c r="BR22" t="s">
        <v>91</v>
      </c>
      <c r="BS22" t="s">
        <v>431</v>
      </c>
      <c r="BT22" t="str">
        <f>HYPERLINK("https%3A%2F%2Fwww.webofscience.com%2Fwos%2Fwoscc%2Ffull-record%2FWOS:000174083100007","View Full Record in Web of Science")</f>
        <v>View Full Record in Web of Science</v>
      </c>
    </row>
    <row r="23" spans="1:72" x14ac:dyDescent="0.15">
      <c r="A23" t="s">
        <v>72</v>
      </c>
      <c r="B23" t="s">
        <v>432</v>
      </c>
      <c r="C23" t="s">
        <v>74</v>
      </c>
      <c r="D23" t="s">
        <v>74</v>
      </c>
      <c r="E23" t="s">
        <v>74</v>
      </c>
      <c r="F23" t="s">
        <v>432</v>
      </c>
      <c r="G23" t="s">
        <v>74</v>
      </c>
      <c r="H23" t="s">
        <v>74</v>
      </c>
      <c r="I23" t="s">
        <v>433</v>
      </c>
      <c r="J23" t="s">
        <v>434</v>
      </c>
      <c r="K23" t="s">
        <v>74</v>
      </c>
      <c r="L23" t="s">
        <v>74</v>
      </c>
      <c r="M23" t="s">
        <v>77</v>
      </c>
      <c r="N23" t="s">
        <v>435</v>
      </c>
      <c r="O23" t="s">
        <v>436</v>
      </c>
      <c r="P23" t="s">
        <v>437</v>
      </c>
      <c r="Q23" t="s">
        <v>438</v>
      </c>
      <c r="R23" t="s">
        <v>74</v>
      </c>
      <c r="S23" t="s">
        <v>439</v>
      </c>
      <c r="T23" t="s">
        <v>440</v>
      </c>
      <c r="U23" t="s">
        <v>441</v>
      </c>
      <c r="V23" t="s">
        <v>442</v>
      </c>
      <c r="W23" t="s">
        <v>443</v>
      </c>
      <c r="X23" t="s">
        <v>444</v>
      </c>
      <c r="Y23" t="s">
        <v>445</v>
      </c>
      <c r="Z23" t="s">
        <v>74</v>
      </c>
      <c r="AA23" t="s">
        <v>446</v>
      </c>
      <c r="AB23" t="s">
        <v>447</v>
      </c>
      <c r="AC23" t="s">
        <v>74</v>
      </c>
      <c r="AD23" t="s">
        <v>74</v>
      </c>
      <c r="AE23" t="s">
        <v>74</v>
      </c>
      <c r="AF23" t="s">
        <v>74</v>
      </c>
      <c r="AG23">
        <v>17</v>
      </c>
      <c r="AH23">
        <v>11</v>
      </c>
      <c r="AI23">
        <v>13</v>
      </c>
      <c r="AJ23">
        <v>0</v>
      </c>
      <c r="AK23">
        <v>5</v>
      </c>
      <c r="AL23" t="s">
        <v>182</v>
      </c>
      <c r="AM23" t="s">
        <v>183</v>
      </c>
      <c r="AN23" t="s">
        <v>184</v>
      </c>
      <c r="AO23" t="s">
        <v>448</v>
      </c>
      <c r="AP23" t="s">
        <v>74</v>
      </c>
      <c r="AQ23" t="s">
        <v>74</v>
      </c>
      <c r="AR23" t="s">
        <v>449</v>
      </c>
      <c r="AS23" t="s">
        <v>450</v>
      </c>
      <c r="AT23" t="s">
        <v>86</v>
      </c>
      <c r="AU23">
        <v>2001</v>
      </c>
      <c r="AV23">
        <v>240</v>
      </c>
      <c r="AW23" t="s">
        <v>451</v>
      </c>
      <c r="AX23" t="s">
        <v>74</v>
      </c>
      <c r="AY23" t="s">
        <v>74</v>
      </c>
      <c r="AZ23" t="s">
        <v>74</v>
      </c>
      <c r="BA23" t="s">
        <v>74</v>
      </c>
      <c r="BB23">
        <v>461</v>
      </c>
      <c r="BC23">
        <v>465</v>
      </c>
      <c r="BD23" t="s">
        <v>74</v>
      </c>
      <c r="BE23" t="s">
        <v>452</v>
      </c>
      <c r="BF23" t="str">
        <f>HYPERLINK("http://dx.doi.org/10.1078/0044-5231-00054","http://dx.doi.org/10.1078/0044-5231-00054")</f>
        <v>http://dx.doi.org/10.1078/0044-5231-00054</v>
      </c>
      <c r="BG23" t="s">
        <v>74</v>
      </c>
      <c r="BH23" t="s">
        <v>74</v>
      </c>
      <c r="BI23">
        <v>5</v>
      </c>
      <c r="BJ23" t="s">
        <v>408</v>
      </c>
      <c r="BK23" t="s">
        <v>453</v>
      </c>
      <c r="BL23" t="s">
        <v>408</v>
      </c>
      <c r="BM23" t="s">
        <v>454</v>
      </c>
      <c r="BN23" t="s">
        <v>74</v>
      </c>
      <c r="BO23" t="s">
        <v>74</v>
      </c>
      <c r="BP23" t="s">
        <v>74</v>
      </c>
      <c r="BQ23" t="s">
        <v>74</v>
      </c>
      <c r="BR23" t="s">
        <v>91</v>
      </c>
      <c r="BS23" t="s">
        <v>455</v>
      </c>
      <c r="BT23" t="str">
        <f>HYPERLINK("https%3A%2F%2Fwww.webofscience.com%2Fwos%2Fwoscc%2Ffull-record%2FWOS:000173808600029","View Full Record in Web of Science")</f>
        <v>View Full Record in Web of Science</v>
      </c>
    </row>
    <row r="24" spans="1:72" x14ac:dyDescent="0.15">
      <c r="A24" t="s">
        <v>72</v>
      </c>
      <c r="B24" t="s">
        <v>456</v>
      </c>
      <c r="C24" t="s">
        <v>74</v>
      </c>
      <c r="D24" t="s">
        <v>74</v>
      </c>
      <c r="E24" t="s">
        <v>74</v>
      </c>
      <c r="F24" t="s">
        <v>456</v>
      </c>
      <c r="G24" t="s">
        <v>74</v>
      </c>
      <c r="H24" t="s">
        <v>74</v>
      </c>
      <c r="I24" t="s">
        <v>457</v>
      </c>
      <c r="J24" t="s">
        <v>434</v>
      </c>
      <c r="K24" t="s">
        <v>74</v>
      </c>
      <c r="L24" t="s">
        <v>74</v>
      </c>
      <c r="M24" t="s">
        <v>77</v>
      </c>
      <c r="N24" t="s">
        <v>435</v>
      </c>
      <c r="O24" t="s">
        <v>436</v>
      </c>
      <c r="P24" t="s">
        <v>437</v>
      </c>
      <c r="Q24" t="s">
        <v>438</v>
      </c>
      <c r="R24" t="s">
        <v>74</v>
      </c>
      <c r="S24" t="s">
        <v>439</v>
      </c>
      <c r="T24" t="s">
        <v>458</v>
      </c>
      <c r="U24" t="s">
        <v>459</v>
      </c>
      <c r="V24" t="s">
        <v>460</v>
      </c>
      <c r="W24" t="s">
        <v>461</v>
      </c>
      <c r="X24" t="s">
        <v>462</v>
      </c>
      <c r="Y24" t="s">
        <v>445</v>
      </c>
      <c r="Z24" t="s">
        <v>74</v>
      </c>
      <c r="AA24" t="s">
        <v>463</v>
      </c>
      <c r="AB24" t="s">
        <v>447</v>
      </c>
      <c r="AC24" t="s">
        <v>74</v>
      </c>
      <c r="AD24" t="s">
        <v>74</v>
      </c>
      <c r="AE24" t="s">
        <v>74</v>
      </c>
      <c r="AF24" t="s">
        <v>74</v>
      </c>
      <c r="AG24">
        <v>10</v>
      </c>
      <c r="AH24">
        <v>10</v>
      </c>
      <c r="AI24">
        <v>11</v>
      </c>
      <c r="AJ24">
        <v>0</v>
      </c>
      <c r="AK24">
        <v>4</v>
      </c>
      <c r="AL24" t="s">
        <v>182</v>
      </c>
      <c r="AM24" t="s">
        <v>183</v>
      </c>
      <c r="AN24" t="s">
        <v>184</v>
      </c>
      <c r="AO24" t="s">
        <v>448</v>
      </c>
      <c r="AP24" t="s">
        <v>74</v>
      </c>
      <c r="AQ24" t="s">
        <v>74</v>
      </c>
      <c r="AR24" t="s">
        <v>449</v>
      </c>
      <c r="AS24" t="s">
        <v>450</v>
      </c>
      <c r="AT24" t="s">
        <v>86</v>
      </c>
      <c r="AU24">
        <v>2001</v>
      </c>
      <c r="AV24">
        <v>240</v>
      </c>
      <c r="AW24" t="s">
        <v>451</v>
      </c>
      <c r="AX24" t="s">
        <v>74</v>
      </c>
      <c r="AY24" t="s">
        <v>74</v>
      </c>
      <c r="AZ24" t="s">
        <v>74</v>
      </c>
      <c r="BA24" t="s">
        <v>74</v>
      </c>
      <c r="BB24">
        <v>467</v>
      </c>
      <c r="BC24">
        <v>469</v>
      </c>
      <c r="BD24" t="s">
        <v>74</v>
      </c>
      <c r="BE24" t="s">
        <v>464</v>
      </c>
      <c r="BF24" t="str">
        <f>HYPERLINK("http://dx.doi.org/10.1078/0044-5231-00055","http://dx.doi.org/10.1078/0044-5231-00055")</f>
        <v>http://dx.doi.org/10.1078/0044-5231-00055</v>
      </c>
      <c r="BG24" t="s">
        <v>74</v>
      </c>
      <c r="BH24" t="s">
        <v>74</v>
      </c>
      <c r="BI24">
        <v>3</v>
      </c>
      <c r="BJ24" t="s">
        <v>408</v>
      </c>
      <c r="BK24" t="s">
        <v>453</v>
      </c>
      <c r="BL24" t="s">
        <v>408</v>
      </c>
      <c r="BM24" t="s">
        <v>454</v>
      </c>
      <c r="BN24" t="s">
        <v>74</v>
      </c>
      <c r="BO24" t="s">
        <v>74</v>
      </c>
      <c r="BP24" t="s">
        <v>74</v>
      </c>
      <c r="BQ24" t="s">
        <v>74</v>
      </c>
      <c r="BR24" t="s">
        <v>91</v>
      </c>
      <c r="BS24" t="s">
        <v>465</v>
      </c>
      <c r="BT24" t="str">
        <f>HYPERLINK("https%3A%2F%2Fwww.webofscience.com%2Fwos%2Fwoscc%2Ffull-record%2FWOS:000173808600030","View Full Record in Web of Science")</f>
        <v>View Full Record in Web of Science</v>
      </c>
    </row>
    <row r="25" spans="1:72" x14ac:dyDescent="0.15">
      <c r="A25" t="s">
        <v>72</v>
      </c>
      <c r="B25" t="s">
        <v>466</v>
      </c>
      <c r="C25" t="s">
        <v>74</v>
      </c>
      <c r="D25" t="s">
        <v>74</v>
      </c>
      <c r="E25" t="s">
        <v>74</v>
      </c>
      <c r="F25" t="s">
        <v>466</v>
      </c>
      <c r="G25" t="s">
        <v>74</v>
      </c>
      <c r="H25" t="s">
        <v>74</v>
      </c>
      <c r="I25" t="s">
        <v>467</v>
      </c>
      <c r="J25" t="s">
        <v>434</v>
      </c>
      <c r="K25" t="s">
        <v>74</v>
      </c>
      <c r="L25" t="s">
        <v>74</v>
      </c>
      <c r="M25" t="s">
        <v>77</v>
      </c>
      <c r="N25" t="s">
        <v>435</v>
      </c>
      <c r="O25" t="s">
        <v>436</v>
      </c>
      <c r="P25" t="s">
        <v>437</v>
      </c>
      <c r="Q25" t="s">
        <v>438</v>
      </c>
      <c r="R25" t="s">
        <v>74</v>
      </c>
      <c r="S25" t="s">
        <v>439</v>
      </c>
      <c r="T25" t="s">
        <v>468</v>
      </c>
      <c r="U25" t="s">
        <v>469</v>
      </c>
      <c r="V25" t="s">
        <v>470</v>
      </c>
      <c r="W25" t="s">
        <v>471</v>
      </c>
      <c r="X25" t="s">
        <v>472</v>
      </c>
      <c r="Y25" t="s">
        <v>473</v>
      </c>
      <c r="Z25" t="s">
        <v>74</v>
      </c>
      <c r="AA25" t="s">
        <v>74</v>
      </c>
      <c r="AB25" t="s">
        <v>74</v>
      </c>
      <c r="AC25" t="s">
        <v>74</v>
      </c>
      <c r="AD25" t="s">
        <v>74</v>
      </c>
      <c r="AE25" t="s">
        <v>74</v>
      </c>
      <c r="AF25" t="s">
        <v>74</v>
      </c>
      <c r="AG25">
        <v>55</v>
      </c>
      <c r="AH25">
        <v>8</v>
      </c>
      <c r="AI25">
        <v>11</v>
      </c>
      <c r="AJ25">
        <v>0</v>
      </c>
      <c r="AK25">
        <v>3</v>
      </c>
      <c r="AL25" t="s">
        <v>182</v>
      </c>
      <c r="AM25" t="s">
        <v>183</v>
      </c>
      <c r="AN25" t="s">
        <v>184</v>
      </c>
      <c r="AO25" t="s">
        <v>448</v>
      </c>
      <c r="AP25" t="s">
        <v>74</v>
      </c>
      <c r="AQ25" t="s">
        <v>74</v>
      </c>
      <c r="AR25" t="s">
        <v>449</v>
      </c>
      <c r="AS25" t="s">
        <v>450</v>
      </c>
      <c r="AT25" t="s">
        <v>86</v>
      </c>
      <c r="AU25">
        <v>2001</v>
      </c>
      <c r="AV25">
        <v>240</v>
      </c>
      <c r="AW25" t="s">
        <v>451</v>
      </c>
      <c r="AX25" t="s">
        <v>74</v>
      </c>
      <c r="AY25" t="s">
        <v>74</v>
      </c>
      <c r="AZ25" t="s">
        <v>74</v>
      </c>
      <c r="BA25" t="s">
        <v>74</v>
      </c>
      <c r="BB25">
        <v>475</v>
      </c>
      <c r="BC25">
        <v>491</v>
      </c>
      <c r="BD25" t="s">
        <v>74</v>
      </c>
      <c r="BE25" t="s">
        <v>474</v>
      </c>
      <c r="BF25" t="str">
        <f>HYPERLINK("http://dx.doi.org/10.1078/0044-5231-00057","http://dx.doi.org/10.1078/0044-5231-00057")</f>
        <v>http://dx.doi.org/10.1078/0044-5231-00057</v>
      </c>
      <c r="BG25" t="s">
        <v>74</v>
      </c>
      <c r="BH25" t="s">
        <v>74</v>
      </c>
      <c r="BI25">
        <v>17</v>
      </c>
      <c r="BJ25" t="s">
        <v>408</v>
      </c>
      <c r="BK25" t="s">
        <v>453</v>
      </c>
      <c r="BL25" t="s">
        <v>408</v>
      </c>
      <c r="BM25" t="s">
        <v>454</v>
      </c>
      <c r="BN25" t="s">
        <v>74</v>
      </c>
      <c r="BO25" t="s">
        <v>74</v>
      </c>
      <c r="BP25" t="s">
        <v>74</v>
      </c>
      <c r="BQ25" t="s">
        <v>74</v>
      </c>
      <c r="BR25" t="s">
        <v>91</v>
      </c>
      <c r="BS25" t="s">
        <v>475</v>
      </c>
      <c r="BT25" t="str">
        <f>HYPERLINK("https%3A%2F%2Fwww.webofscience.com%2Fwos%2Fwoscc%2Ffull-record%2FWOS:000173808600032","View Full Record in Web of Science")</f>
        <v>View Full Record in Web of Science</v>
      </c>
    </row>
    <row r="26" spans="1:72" x14ac:dyDescent="0.15">
      <c r="A26" t="s">
        <v>72</v>
      </c>
      <c r="B26" t="s">
        <v>476</v>
      </c>
      <c r="C26" t="s">
        <v>74</v>
      </c>
      <c r="D26" t="s">
        <v>74</v>
      </c>
      <c r="E26" t="s">
        <v>74</v>
      </c>
      <c r="F26" t="s">
        <v>476</v>
      </c>
      <c r="G26" t="s">
        <v>74</v>
      </c>
      <c r="H26" t="s">
        <v>74</v>
      </c>
      <c r="I26" t="s">
        <v>477</v>
      </c>
      <c r="J26" t="s">
        <v>478</v>
      </c>
      <c r="K26" t="s">
        <v>74</v>
      </c>
      <c r="L26" t="s">
        <v>74</v>
      </c>
      <c r="M26" t="s">
        <v>77</v>
      </c>
      <c r="N26" t="s">
        <v>120</v>
      </c>
      <c r="O26" t="s">
        <v>74</v>
      </c>
      <c r="P26" t="s">
        <v>74</v>
      </c>
      <c r="Q26" t="s">
        <v>74</v>
      </c>
      <c r="R26" t="s">
        <v>74</v>
      </c>
      <c r="S26" t="s">
        <v>74</v>
      </c>
      <c r="T26" t="s">
        <v>479</v>
      </c>
      <c r="U26" t="s">
        <v>480</v>
      </c>
      <c r="V26" t="s">
        <v>481</v>
      </c>
      <c r="W26" t="s">
        <v>482</v>
      </c>
      <c r="X26" t="s">
        <v>483</v>
      </c>
      <c r="Y26" t="s">
        <v>484</v>
      </c>
      <c r="Z26" t="s">
        <v>485</v>
      </c>
      <c r="AA26" t="s">
        <v>486</v>
      </c>
      <c r="AB26" t="s">
        <v>487</v>
      </c>
      <c r="AC26" t="s">
        <v>74</v>
      </c>
      <c r="AD26" t="s">
        <v>74</v>
      </c>
      <c r="AE26" t="s">
        <v>74</v>
      </c>
      <c r="AF26" t="s">
        <v>74</v>
      </c>
      <c r="AG26">
        <v>48</v>
      </c>
      <c r="AH26">
        <v>71</v>
      </c>
      <c r="AI26">
        <v>78</v>
      </c>
      <c r="AJ26">
        <v>0</v>
      </c>
      <c r="AK26">
        <v>18</v>
      </c>
      <c r="AL26" t="s">
        <v>488</v>
      </c>
      <c r="AM26" t="s">
        <v>350</v>
      </c>
      <c r="AN26" t="s">
        <v>489</v>
      </c>
      <c r="AO26" t="s">
        <v>490</v>
      </c>
      <c r="AP26" t="s">
        <v>491</v>
      </c>
      <c r="AQ26" t="s">
        <v>74</v>
      </c>
      <c r="AR26" t="s">
        <v>492</v>
      </c>
      <c r="AS26" t="s">
        <v>493</v>
      </c>
      <c r="AT26" t="s">
        <v>494</v>
      </c>
      <c r="AU26">
        <v>2001</v>
      </c>
      <c r="AV26">
        <v>193</v>
      </c>
      <c r="AW26" t="s">
        <v>495</v>
      </c>
      <c r="AX26" t="s">
        <v>74</v>
      </c>
      <c r="AY26" t="s">
        <v>74</v>
      </c>
      <c r="AZ26" t="s">
        <v>74</v>
      </c>
      <c r="BA26" t="s">
        <v>74</v>
      </c>
      <c r="BB26">
        <v>167</v>
      </c>
      <c r="BC26">
        <v>182</v>
      </c>
      <c r="BD26" t="s">
        <v>74</v>
      </c>
      <c r="BE26" t="s">
        <v>496</v>
      </c>
      <c r="BF26" t="str">
        <f>HYPERLINK("http://dx.doi.org/10.1016/S0012-821X(01)00494-0","http://dx.doi.org/10.1016/S0012-821X(01)00494-0")</f>
        <v>http://dx.doi.org/10.1016/S0012-821X(01)00494-0</v>
      </c>
      <c r="BG26" t="s">
        <v>74</v>
      </c>
      <c r="BH26" t="s">
        <v>74</v>
      </c>
      <c r="BI26">
        <v>16</v>
      </c>
      <c r="BJ26" t="s">
        <v>388</v>
      </c>
      <c r="BK26" t="s">
        <v>88</v>
      </c>
      <c r="BL26" t="s">
        <v>388</v>
      </c>
      <c r="BM26" t="s">
        <v>497</v>
      </c>
      <c r="BN26" t="s">
        <v>74</v>
      </c>
      <c r="BO26" t="s">
        <v>74</v>
      </c>
      <c r="BP26" t="s">
        <v>74</v>
      </c>
      <c r="BQ26" t="s">
        <v>74</v>
      </c>
      <c r="BR26" t="s">
        <v>91</v>
      </c>
      <c r="BS26" t="s">
        <v>498</v>
      </c>
      <c r="BT26" t="str">
        <f>HYPERLINK("https%3A%2F%2Fwww.webofscience.com%2Fwos%2Fwoscc%2Ffull-record%2FWOS:000172575600015","View Full Record in Web of Science")</f>
        <v>View Full Record in Web of Science</v>
      </c>
    </row>
    <row r="27" spans="1:72" x14ac:dyDescent="0.15">
      <c r="A27" t="s">
        <v>72</v>
      </c>
      <c r="B27" t="s">
        <v>499</v>
      </c>
      <c r="C27" t="s">
        <v>74</v>
      </c>
      <c r="D27" t="s">
        <v>74</v>
      </c>
      <c r="E27" t="s">
        <v>74</v>
      </c>
      <c r="F27" t="s">
        <v>499</v>
      </c>
      <c r="G27" t="s">
        <v>74</v>
      </c>
      <c r="H27" t="s">
        <v>74</v>
      </c>
      <c r="I27" t="s">
        <v>500</v>
      </c>
      <c r="J27" t="s">
        <v>501</v>
      </c>
      <c r="K27" t="s">
        <v>74</v>
      </c>
      <c r="L27" t="s">
        <v>74</v>
      </c>
      <c r="M27" t="s">
        <v>77</v>
      </c>
      <c r="N27" t="s">
        <v>120</v>
      </c>
      <c r="O27" t="s">
        <v>74</v>
      </c>
      <c r="P27" t="s">
        <v>74</v>
      </c>
      <c r="Q27" t="s">
        <v>74</v>
      </c>
      <c r="R27" t="s">
        <v>74</v>
      </c>
      <c r="S27" t="s">
        <v>74</v>
      </c>
      <c r="T27" t="s">
        <v>74</v>
      </c>
      <c r="U27" t="s">
        <v>502</v>
      </c>
      <c r="V27" t="s">
        <v>503</v>
      </c>
      <c r="W27" t="s">
        <v>504</v>
      </c>
      <c r="X27" t="s">
        <v>505</v>
      </c>
      <c r="Y27" t="s">
        <v>506</v>
      </c>
      <c r="Z27" t="s">
        <v>507</v>
      </c>
      <c r="AA27" t="s">
        <v>74</v>
      </c>
      <c r="AB27" t="s">
        <v>74</v>
      </c>
      <c r="AC27" t="s">
        <v>74</v>
      </c>
      <c r="AD27" t="s">
        <v>74</v>
      </c>
      <c r="AE27" t="s">
        <v>74</v>
      </c>
      <c r="AF27" t="s">
        <v>74</v>
      </c>
      <c r="AG27">
        <v>70</v>
      </c>
      <c r="AH27">
        <v>31</v>
      </c>
      <c r="AI27">
        <v>33</v>
      </c>
      <c r="AJ27">
        <v>1</v>
      </c>
      <c r="AK27">
        <v>15</v>
      </c>
      <c r="AL27" t="s">
        <v>508</v>
      </c>
      <c r="AM27" t="s">
        <v>150</v>
      </c>
      <c r="AN27" t="s">
        <v>509</v>
      </c>
      <c r="AO27" t="s">
        <v>510</v>
      </c>
      <c r="AP27" t="s">
        <v>511</v>
      </c>
      <c r="AQ27" t="s">
        <v>74</v>
      </c>
      <c r="AR27" t="s">
        <v>512</v>
      </c>
      <c r="AS27" t="s">
        <v>513</v>
      </c>
      <c r="AT27" t="s">
        <v>514</v>
      </c>
      <c r="AU27">
        <v>2001</v>
      </c>
      <c r="AV27">
        <v>105</v>
      </c>
      <c r="AW27">
        <v>47</v>
      </c>
      <c r="AX27" t="s">
        <v>74</v>
      </c>
      <c r="AY27" t="s">
        <v>74</v>
      </c>
      <c r="AZ27" t="s">
        <v>74</v>
      </c>
      <c r="BA27" t="s">
        <v>74</v>
      </c>
      <c r="BB27">
        <v>11719</v>
      </c>
      <c r="BC27">
        <v>11728</v>
      </c>
      <c r="BD27" t="s">
        <v>74</v>
      </c>
      <c r="BE27" t="s">
        <v>515</v>
      </c>
      <c r="BF27" t="str">
        <f>HYPERLINK("http://dx.doi.org/10.1021/jp0116499","http://dx.doi.org/10.1021/jp0116499")</f>
        <v>http://dx.doi.org/10.1021/jp0116499</v>
      </c>
      <c r="BG27" t="s">
        <v>74</v>
      </c>
      <c r="BH27" t="s">
        <v>74</v>
      </c>
      <c r="BI27">
        <v>10</v>
      </c>
      <c r="BJ27" t="s">
        <v>516</v>
      </c>
      <c r="BK27" t="s">
        <v>88</v>
      </c>
      <c r="BL27" t="s">
        <v>517</v>
      </c>
      <c r="BM27" t="s">
        <v>518</v>
      </c>
      <c r="BN27" t="s">
        <v>74</v>
      </c>
      <c r="BO27" t="s">
        <v>74</v>
      </c>
      <c r="BP27" t="s">
        <v>74</v>
      </c>
      <c r="BQ27" t="s">
        <v>74</v>
      </c>
      <c r="BR27" t="s">
        <v>91</v>
      </c>
      <c r="BS27" t="s">
        <v>519</v>
      </c>
      <c r="BT27" t="str">
        <f>HYPERLINK("https%3A%2F%2Fwww.webofscience.com%2Fwos%2Fwoscc%2Ffull-record%2FWOS:000172450300025","View Full Record in Web of Science")</f>
        <v>View Full Record in Web of Science</v>
      </c>
    </row>
    <row r="28" spans="1:72" x14ac:dyDescent="0.15">
      <c r="A28" t="s">
        <v>72</v>
      </c>
      <c r="B28" t="s">
        <v>520</v>
      </c>
      <c r="C28" t="s">
        <v>74</v>
      </c>
      <c r="D28" t="s">
        <v>74</v>
      </c>
      <c r="E28" t="s">
        <v>74</v>
      </c>
      <c r="F28" t="s">
        <v>520</v>
      </c>
      <c r="G28" t="s">
        <v>74</v>
      </c>
      <c r="H28" t="s">
        <v>74</v>
      </c>
      <c r="I28" t="s">
        <v>521</v>
      </c>
      <c r="J28" t="s">
        <v>522</v>
      </c>
      <c r="K28" t="s">
        <v>74</v>
      </c>
      <c r="L28" t="s">
        <v>74</v>
      </c>
      <c r="M28" t="s">
        <v>77</v>
      </c>
      <c r="N28" t="s">
        <v>120</v>
      </c>
      <c r="O28" t="s">
        <v>74</v>
      </c>
      <c r="P28" t="s">
        <v>74</v>
      </c>
      <c r="Q28" t="s">
        <v>74</v>
      </c>
      <c r="R28" t="s">
        <v>74</v>
      </c>
      <c r="S28" t="s">
        <v>74</v>
      </c>
      <c r="T28" t="s">
        <v>74</v>
      </c>
      <c r="U28" t="s">
        <v>523</v>
      </c>
      <c r="V28" t="s">
        <v>524</v>
      </c>
      <c r="W28" t="s">
        <v>525</v>
      </c>
      <c r="X28" t="s">
        <v>526</v>
      </c>
      <c r="Y28" t="s">
        <v>527</v>
      </c>
      <c r="Z28" t="s">
        <v>528</v>
      </c>
      <c r="AA28" t="s">
        <v>529</v>
      </c>
      <c r="AB28" t="s">
        <v>530</v>
      </c>
      <c r="AC28" t="s">
        <v>74</v>
      </c>
      <c r="AD28" t="s">
        <v>74</v>
      </c>
      <c r="AE28" t="s">
        <v>74</v>
      </c>
      <c r="AF28" t="s">
        <v>74</v>
      </c>
      <c r="AG28">
        <v>37</v>
      </c>
      <c r="AH28">
        <v>72</v>
      </c>
      <c r="AI28">
        <v>84</v>
      </c>
      <c r="AJ28">
        <v>1</v>
      </c>
      <c r="AK28">
        <v>13</v>
      </c>
      <c r="AL28" t="s">
        <v>149</v>
      </c>
      <c r="AM28" t="s">
        <v>150</v>
      </c>
      <c r="AN28" t="s">
        <v>151</v>
      </c>
      <c r="AO28" t="s">
        <v>531</v>
      </c>
      <c r="AP28" t="s">
        <v>532</v>
      </c>
      <c r="AQ28" t="s">
        <v>74</v>
      </c>
      <c r="AR28" t="s">
        <v>533</v>
      </c>
      <c r="AS28" t="s">
        <v>534</v>
      </c>
      <c r="AT28" t="s">
        <v>535</v>
      </c>
      <c r="AU28">
        <v>2001</v>
      </c>
      <c r="AV28">
        <v>106</v>
      </c>
      <c r="AW28" t="s">
        <v>536</v>
      </c>
      <c r="AX28" t="s">
        <v>74</v>
      </c>
      <c r="AY28" t="s">
        <v>74</v>
      </c>
      <c r="AZ28" t="s">
        <v>74</v>
      </c>
      <c r="BA28" t="s">
        <v>74</v>
      </c>
      <c r="BB28">
        <v>28089</v>
      </c>
      <c r="BC28">
        <v>28095</v>
      </c>
      <c r="BD28" t="s">
        <v>74</v>
      </c>
      <c r="BE28" t="s">
        <v>537</v>
      </c>
      <c r="BF28" t="str">
        <f>HYPERLINK("http://dx.doi.org/10.1029/2001JD000330","http://dx.doi.org/10.1029/2001JD000330")</f>
        <v>http://dx.doi.org/10.1029/2001JD000330</v>
      </c>
      <c r="BG28" t="s">
        <v>74</v>
      </c>
      <c r="BH28" t="s">
        <v>74</v>
      </c>
      <c r="BI28">
        <v>7</v>
      </c>
      <c r="BJ28" t="s">
        <v>538</v>
      </c>
      <c r="BK28" t="s">
        <v>88</v>
      </c>
      <c r="BL28" t="s">
        <v>538</v>
      </c>
      <c r="BM28" t="s">
        <v>539</v>
      </c>
      <c r="BN28" t="s">
        <v>74</v>
      </c>
      <c r="BO28" t="s">
        <v>115</v>
      </c>
      <c r="BP28" t="s">
        <v>74</v>
      </c>
      <c r="BQ28" t="s">
        <v>74</v>
      </c>
      <c r="BR28" t="s">
        <v>91</v>
      </c>
      <c r="BS28" t="s">
        <v>540</v>
      </c>
      <c r="BT28" t="str">
        <f>HYPERLINK("https%3A%2F%2Fwww.webofscience.com%2Fwos%2Fwoscc%2Ffull-record%2FWOS:000172355800004","View Full Record in Web of Science")</f>
        <v>View Full Record in Web of Science</v>
      </c>
    </row>
    <row r="29" spans="1:72" x14ac:dyDescent="0.15">
      <c r="A29" t="s">
        <v>72</v>
      </c>
      <c r="B29" t="s">
        <v>541</v>
      </c>
      <c r="C29" t="s">
        <v>74</v>
      </c>
      <c r="D29" t="s">
        <v>74</v>
      </c>
      <c r="E29" t="s">
        <v>74</v>
      </c>
      <c r="F29" t="s">
        <v>541</v>
      </c>
      <c r="G29" t="s">
        <v>74</v>
      </c>
      <c r="H29" t="s">
        <v>74</v>
      </c>
      <c r="I29" t="s">
        <v>542</v>
      </c>
      <c r="J29" t="s">
        <v>522</v>
      </c>
      <c r="K29" t="s">
        <v>74</v>
      </c>
      <c r="L29" t="s">
        <v>74</v>
      </c>
      <c r="M29" t="s">
        <v>77</v>
      </c>
      <c r="N29" t="s">
        <v>120</v>
      </c>
      <c r="O29" t="s">
        <v>74</v>
      </c>
      <c r="P29" t="s">
        <v>74</v>
      </c>
      <c r="Q29" t="s">
        <v>74</v>
      </c>
      <c r="R29" t="s">
        <v>74</v>
      </c>
      <c r="S29" t="s">
        <v>74</v>
      </c>
      <c r="T29" t="s">
        <v>74</v>
      </c>
      <c r="U29" t="s">
        <v>543</v>
      </c>
      <c r="V29" t="s">
        <v>544</v>
      </c>
      <c r="W29" t="s">
        <v>545</v>
      </c>
      <c r="X29" t="s">
        <v>546</v>
      </c>
      <c r="Y29" t="s">
        <v>547</v>
      </c>
      <c r="Z29" t="s">
        <v>548</v>
      </c>
      <c r="AA29" t="s">
        <v>549</v>
      </c>
      <c r="AB29" t="s">
        <v>74</v>
      </c>
      <c r="AC29" t="s">
        <v>74</v>
      </c>
      <c r="AD29" t="s">
        <v>74</v>
      </c>
      <c r="AE29" t="s">
        <v>74</v>
      </c>
      <c r="AF29" t="s">
        <v>74</v>
      </c>
      <c r="AG29">
        <v>40</v>
      </c>
      <c r="AH29">
        <v>42</v>
      </c>
      <c r="AI29">
        <v>44</v>
      </c>
      <c r="AJ29">
        <v>0</v>
      </c>
      <c r="AK29">
        <v>3</v>
      </c>
      <c r="AL29" t="s">
        <v>149</v>
      </c>
      <c r="AM29" t="s">
        <v>150</v>
      </c>
      <c r="AN29" t="s">
        <v>151</v>
      </c>
      <c r="AO29" t="s">
        <v>531</v>
      </c>
      <c r="AP29" t="s">
        <v>74</v>
      </c>
      <c r="AQ29" t="s">
        <v>74</v>
      </c>
      <c r="AR29" t="s">
        <v>533</v>
      </c>
      <c r="AS29" t="s">
        <v>534</v>
      </c>
      <c r="AT29" t="s">
        <v>535</v>
      </c>
      <c r="AU29">
        <v>2001</v>
      </c>
      <c r="AV29">
        <v>106</v>
      </c>
      <c r="AW29" t="s">
        <v>536</v>
      </c>
      <c r="AX29" t="s">
        <v>74</v>
      </c>
      <c r="AY29" t="s">
        <v>74</v>
      </c>
      <c r="AZ29" t="s">
        <v>74</v>
      </c>
      <c r="BA29" t="s">
        <v>74</v>
      </c>
      <c r="BB29">
        <v>28173</v>
      </c>
      <c r="BC29">
        <v>28188</v>
      </c>
      <c r="BD29" t="s">
        <v>74</v>
      </c>
      <c r="BE29" t="s">
        <v>550</v>
      </c>
      <c r="BF29" t="str">
        <f>HYPERLINK("http://dx.doi.org/10.1029/2000JD000065","http://dx.doi.org/10.1029/2000JD000065")</f>
        <v>http://dx.doi.org/10.1029/2000JD000065</v>
      </c>
      <c r="BG29" t="s">
        <v>74</v>
      </c>
      <c r="BH29" t="s">
        <v>74</v>
      </c>
      <c r="BI29">
        <v>16</v>
      </c>
      <c r="BJ29" t="s">
        <v>538</v>
      </c>
      <c r="BK29" t="s">
        <v>88</v>
      </c>
      <c r="BL29" t="s">
        <v>538</v>
      </c>
      <c r="BM29" t="s">
        <v>539</v>
      </c>
      <c r="BN29" t="s">
        <v>74</v>
      </c>
      <c r="BO29" t="s">
        <v>171</v>
      </c>
      <c r="BP29" t="s">
        <v>74</v>
      </c>
      <c r="BQ29" t="s">
        <v>74</v>
      </c>
      <c r="BR29" t="s">
        <v>91</v>
      </c>
      <c r="BS29" t="s">
        <v>551</v>
      </c>
      <c r="BT29" t="str">
        <f>HYPERLINK("https%3A%2F%2Fwww.webofscience.com%2Fwos%2Fwoscc%2Ffull-record%2FWOS:000172355800011","View Full Record in Web of Science")</f>
        <v>View Full Record in Web of Science</v>
      </c>
    </row>
    <row r="30" spans="1:72" x14ac:dyDescent="0.15">
      <c r="A30" t="s">
        <v>72</v>
      </c>
      <c r="B30" t="s">
        <v>552</v>
      </c>
      <c r="C30" t="s">
        <v>74</v>
      </c>
      <c r="D30" t="s">
        <v>74</v>
      </c>
      <c r="E30" t="s">
        <v>74</v>
      </c>
      <c r="F30" t="s">
        <v>552</v>
      </c>
      <c r="G30" t="s">
        <v>74</v>
      </c>
      <c r="H30" t="s">
        <v>74</v>
      </c>
      <c r="I30" t="s">
        <v>553</v>
      </c>
      <c r="J30" t="s">
        <v>522</v>
      </c>
      <c r="K30" t="s">
        <v>74</v>
      </c>
      <c r="L30" t="s">
        <v>74</v>
      </c>
      <c r="M30" t="s">
        <v>77</v>
      </c>
      <c r="N30" t="s">
        <v>120</v>
      </c>
      <c r="O30" t="s">
        <v>74</v>
      </c>
      <c r="P30" t="s">
        <v>74</v>
      </c>
      <c r="Q30" t="s">
        <v>74</v>
      </c>
      <c r="R30" t="s">
        <v>74</v>
      </c>
      <c r="S30" t="s">
        <v>74</v>
      </c>
      <c r="T30" t="s">
        <v>74</v>
      </c>
      <c r="U30" t="s">
        <v>554</v>
      </c>
      <c r="V30" t="s">
        <v>555</v>
      </c>
      <c r="W30" t="s">
        <v>556</v>
      </c>
      <c r="X30" t="s">
        <v>557</v>
      </c>
      <c r="Y30" t="s">
        <v>558</v>
      </c>
      <c r="Z30" t="s">
        <v>559</v>
      </c>
      <c r="AA30" t="s">
        <v>560</v>
      </c>
      <c r="AB30" t="s">
        <v>561</v>
      </c>
      <c r="AC30" t="s">
        <v>74</v>
      </c>
      <c r="AD30" t="s">
        <v>74</v>
      </c>
      <c r="AE30" t="s">
        <v>74</v>
      </c>
      <c r="AF30" t="s">
        <v>74</v>
      </c>
      <c r="AG30">
        <v>55</v>
      </c>
      <c r="AH30">
        <v>71</v>
      </c>
      <c r="AI30">
        <v>78</v>
      </c>
      <c r="AJ30">
        <v>0</v>
      </c>
      <c r="AK30">
        <v>15</v>
      </c>
      <c r="AL30" t="s">
        <v>149</v>
      </c>
      <c r="AM30" t="s">
        <v>150</v>
      </c>
      <c r="AN30" t="s">
        <v>151</v>
      </c>
      <c r="AO30" t="s">
        <v>531</v>
      </c>
      <c r="AP30" t="s">
        <v>74</v>
      </c>
      <c r="AQ30" t="s">
        <v>74</v>
      </c>
      <c r="AR30" t="s">
        <v>533</v>
      </c>
      <c r="AS30" t="s">
        <v>534</v>
      </c>
      <c r="AT30" t="s">
        <v>535</v>
      </c>
      <c r="AU30">
        <v>2001</v>
      </c>
      <c r="AV30">
        <v>106</v>
      </c>
      <c r="AW30" t="s">
        <v>536</v>
      </c>
      <c r="AX30" t="s">
        <v>74</v>
      </c>
      <c r="AY30" t="s">
        <v>74</v>
      </c>
      <c r="AZ30" t="s">
        <v>74</v>
      </c>
      <c r="BA30" t="s">
        <v>74</v>
      </c>
      <c r="BB30">
        <v>28771</v>
      </c>
      <c r="BC30">
        <v>28784</v>
      </c>
      <c r="BD30" t="s">
        <v>74</v>
      </c>
      <c r="BE30" t="s">
        <v>562</v>
      </c>
      <c r="BF30" t="str">
        <f>HYPERLINK("http://dx.doi.org/10.1029/2001JD000559","http://dx.doi.org/10.1029/2001JD000559")</f>
        <v>http://dx.doi.org/10.1029/2001JD000559</v>
      </c>
      <c r="BG30" t="s">
        <v>74</v>
      </c>
      <c r="BH30" t="s">
        <v>74</v>
      </c>
      <c r="BI30">
        <v>14</v>
      </c>
      <c r="BJ30" t="s">
        <v>538</v>
      </c>
      <c r="BK30" t="s">
        <v>88</v>
      </c>
      <c r="BL30" t="s">
        <v>538</v>
      </c>
      <c r="BM30" t="s">
        <v>539</v>
      </c>
      <c r="BN30" t="s">
        <v>74</v>
      </c>
      <c r="BO30" t="s">
        <v>563</v>
      </c>
      <c r="BP30" t="s">
        <v>74</v>
      </c>
      <c r="BQ30" t="s">
        <v>74</v>
      </c>
      <c r="BR30" t="s">
        <v>91</v>
      </c>
      <c r="BS30" t="s">
        <v>564</v>
      </c>
      <c r="BT30" t="str">
        <f>HYPERLINK("https%3A%2F%2Fwww.webofscience.com%2Fwos%2Fwoscc%2Ffull-record%2FWOS:000172355800053","View Full Record in Web of Science")</f>
        <v>View Full Record in Web of Science</v>
      </c>
    </row>
    <row r="31" spans="1:72" x14ac:dyDescent="0.15">
      <c r="A31" t="s">
        <v>72</v>
      </c>
      <c r="B31" t="s">
        <v>565</v>
      </c>
      <c r="C31" t="s">
        <v>74</v>
      </c>
      <c r="D31" t="s">
        <v>74</v>
      </c>
      <c r="E31" t="s">
        <v>74</v>
      </c>
      <c r="F31" t="s">
        <v>565</v>
      </c>
      <c r="G31" t="s">
        <v>74</v>
      </c>
      <c r="H31" t="s">
        <v>74</v>
      </c>
      <c r="I31" t="s">
        <v>566</v>
      </c>
      <c r="J31" t="s">
        <v>567</v>
      </c>
      <c r="K31" t="s">
        <v>74</v>
      </c>
      <c r="L31" t="s">
        <v>74</v>
      </c>
      <c r="M31" t="s">
        <v>77</v>
      </c>
      <c r="N31" t="s">
        <v>78</v>
      </c>
      <c r="O31" t="s">
        <v>74</v>
      </c>
      <c r="P31" t="s">
        <v>74</v>
      </c>
      <c r="Q31" t="s">
        <v>74</v>
      </c>
      <c r="R31" t="s">
        <v>74</v>
      </c>
      <c r="S31" t="s">
        <v>74</v>
      </c>
      <c r="T31" t="s">
        <v>74</v>
      </c>
      <c r="U31" t="s">
        <v>74</v>
      </c>
      <c r="V31" t="s">
        <v>74</v>
      </c>
      <c r="W31" t="s">
        <v>74</v>
      </c>
      <c r="X31" t="s">
        <v>74</v>
      </c>
      <c r="Y31" t="s">
        <v>74</v>
      </c>
      <c r="Z31" t="s">
        <v>74</v>
      </c>
      <c r="AA31" t="s">
        <v>74</v>
      </c>
      <c r="AB31" t="s">
        <v>74</v>
      </c>
      <c r="AC31" t="s">
        <v>74</v>
      </c>
      <c r="AD31" t="s">
        <v>74</v>
      </c>
      <c r="AE31" t="s">
        <v>74</v>
      </c>
      <c r="AF31" t="s">
        <v>74</v>
      </c>
      <c r="AG31">
        <v>0</v>
      </c>
      <c r="AH31">
        <v>0</v>
      </c>
      <c r="AI31">
        <v>0</v>
      </c>
      <c r="AJ31">
        <v>0</v>
      </c>
      <c r="AK31">
        <v>0</v>
      </c>
      <c r="AL31" t="s">
        <v>568</v>
      </c>
      <c r="AM31" t="s">
        <v>569</v>
      </c>
      <c r="AN31" t="s">
        <v>570</v>
      </c>
      <c r="AO31" t="s">
        <v>571</v>
      </c>
      <c r="AP31" t="s">
        <v>74</v>
      </c>
      <c r="AQ31" t="s">
        <v>74</v>
      </c>
      <c r="AR31" t="s">
        <v>572</v>
      </c>
      <c r="AS31" t="s">
        <v>573</v>
      </c>
      <c r="AT31" t="s">
        <v>574</v>
      </c>
      <c r="AU31">
        <v>2001</v>
      </c>
      <c r="AV31">
        <v>172</v>
      </c>
      <c r="AW31">
        <v>2317</v>
      </c>
      <c r="AX31" t="s">
        <v>74</v>
      </c>
      <c r="AY31" t="s">
        <v>74</v>
      </c>
      <c r="AZ31" t="s">
        <v>74</v>
      </c>
      <c r="BA31" t="s">
        <v>74</v>
      </c>
      <c r="BB31">
        <v>12</v>
      </c>
      <c r="BC31">
        <v>12</v>
      </c>
      <c r="BD31" t="s">
        <v>74</v>
      </c>
      <c r="BE31" t="s">
        <v>74</v>
      </c>
      <c r="BF31" t="s">
        <v>74</v>
      </c>
      <c r="BG31" t="s">
        <v>74</v>
      </c>
      <c r="BH31" t="s">
        <v>74</v>
      </c>
      <c r="BI31">
        <v>1</v>
      </c>
      <c r="BJ31" t="s">
        <v>575</v>
      </c>
      <c r="BK31" t="s">
        <v>88</v>
      </c>
      <c r="BL31" t="s">
        <v>576</v>
      </c>
      <c r="BM31" t="s">
        <v>577</v>
      </c>
      <c r="BN31" t="s">
        <v>74</v>
      </c>
      <c r="BO31" t="s">
        <v>74</v>
      </c>
      <c r="BP31" t="s">
        <v>74</v>
      </c>
      <c r="BQ31" t="s">
        <v>74</v>
      </c>
      <c r="BR31" t="s">
        <v>91</v>
      </c>
      <c r="BS31" t="s">
        <v>578</v>
      </c>
      <c r="BT31" t="str">
        <f>HYPERLINK("https%3A%2F%2Fwww.webofscience.com%2Fwos%2Fwoscc%2Ffull-record%2FWOS:000172280900012","View Full Record in Web of Science")</f>
        <v>View Full Record in Web of Science</v>
      </c>
    </row>
    <row r="32" spans="1:72" x14ac:dyDescent="0.15">
      <c r="A32" t="s">
        <v>72</v>
      </c>
      <c r="B32" t="s">
        <v>579</v>
      </c>
      <c r="C32" t="s">
        <v>74</v>
      </c>
      <c r="D32" t="s">
        <v>74</v>
      </c>
      <c r="E32" t="s">
        <v>74</v>
      </c>
      <c r="F32" t="s">
        <v>579</v>
      </c>
      <c r="G32" t="s">
        <v>74</v>
      </c>
      <c r="H32" t="s">
        <v>74</v>
      </c>
      <c r="I32" t="s">
        <v>580</v>
      </c>
      <c r="J32" t="s">
        <v>522</v>
      </c>
      <c r="K32" t="s">
        <v>74</v>
      </c>
      <c r="L32" t="s">
        <v>74</v>
      </c>
      <c r="M32" t="s">
        <v>77</v>
      </c>
      <c r="N32" t="s">
        <v>120</v>
      </c>
      <c r="O32" t="s">
        <v>74</v>
      </c>
      <c r="P32" t="s">
        <v>74</v>
      </c>
      <c r="Q32" t="s">
        <v>74</v>
      </c>
      <c r="R32" t="s">
        <v>74</v>
      </c>
      <c r="S32" t="s">
        <v>74</v>
      </c>
      <c r="T32" t="s">
        <v>74</v>
      </c>
      <c r="U32" t="s">
        <v>581</v>
      </c>
      <c r="V32" t="s">
        <v>582</v>
      </c>
      <c r="W32" t="s">
        <v>583</v>
      </c>
      <c r="X32" t="s">
        <v>584</v>
      </c>
      <c r="Y32" t="s">
        <v>585</v>
      </c>
      <c r="Z32" t="s">
        <v>586</v>
      </c>
      <c r="AA32" t="s">
        <v>587</v>
      </c>
      <c r="AB32" t="s">
        <v>588</v>
      </c>
      <c r="AC32" t="s">
        <v>74</v>
      </c>
      <c r="AD32" t="s">
        <v>74</v>
      </c>
      <c r="AE32" t="s">
        <v>74</v>
      </c>
      <c r="AF32" t="s">
        <v>74</v>
      </c>
      <c r="AG32">
        <v>12</v>
      </c>
      <c r="AH32">
        <v>34</v>
      </c>
      <c r="AI32">
        <v>41</v>
      </c>
      <c r="AJ32">
        <v>0</v>
      </c>
      <c r="AK32">
        <v>5</v>
      </c>
      <c r="AL32" t="s">
        <v>149</v>
      </c>
      <c r="AM32" t="s">
        <v>150</v>
      </c>
      <c r="AN32" t="s">
        <v>151</v>
      </c>
      <c r="AO32" t="s">
        <v>531</v>
      </c>
      <c r="AP32" t="s">
        <v>532</v>
      </c>
      <c r="AQ32" t="s">
        <v>74</v>
      </c>
      <c r="AR32" t="s">
        <v>533</v>
      </c>
      <c r="AS32" t="s">
        <v>534</v>
      </c>
      <c r="AT32" t="s">
        <v>589</v>
      </c>
      <c r="AU32">
        <v>2001</v>
      </c>
      <c r="AV32">
        <v>106</v>
      </c>
      <c r="AW32" t="s">
        <v>590</v>
      </c>
      <c r="AX32" t="s">
        <v>74</v>
      </c>
      <c r="AY32" t="s">
        <v>74</v>
      </c>
      <c r="AZ32" t="s">
        <v>74</v>
      </c>
      <c r="BA32" t="s">
        <v>74</v>
      </c>
      <c r="BB32">
        <v>27355</v>
      </c>
      <c r="BC32">
        <v>27365</v>
      </c>
      <c r="BD32" t="s">
        <v>74</v>
      </c>
      <c r="BE32" t="s">
        <v>591</v>
      </c>
      <c r="BF32" t="str">
        <f>HYPERLINK("http://dx.doi.org/10.1029/2001JD000954","http://dx.doi.org/10.1029/2001JD000954")</f>
        <v>http://dx.doi.org/10.1029/2001JD000954</v>
      </c>
      <c r="BG32" t="s">
        <v>74</v>
      </c>
      <c r="BH32" t="s">
        <v>74</v>
      </c>
      <c r="BI32">
        <v>11</v>
      </c>
      <c r="BJ32" t="s">
        <v>538</v>
      </c>
      <c r="BK32" t="s">
        <v>88</v>
      </c>
      <c r="BL32" t="s">
        <v>538</v>
      </c>
      <c r="BM32" t="s">
        <v>592</v>
      </c>
      <c r="BN32" t="s">
        <v>74</v>
      </c>
      <c r="BO32" t="s">
        <v>171</v>
      </c>
      <c r="BP32" t="s">
        <v>74</v>
      </c>
      <c r="BQ32" t="s">
        <v>74</v>
      </c>
      <c r="BR32" t="s">
        <v>91</v>
      </c>
      <c r="BS32" t="s">
        <v>593</v>
      </c>
      <c r="BT32" t="str">
        <f>HYPERLINK("https%3A%2F%2Fwww.webofscience.com%2Fwos%2Fwoscc%2Ffull-record%2FWOS:000172312300010","View Full Record in Web of Science")</f>
        <v>View Full Record in Web of Science</v>
      </c>
    </row>
    <row r="33" spans="1:72" x14ac:dyDescent="0.15">
      <c r="A33" t="s">
        <v>72</v>
      </c>
      <c r="B33" t="s">
        <v>594</v>
      </c>
      <c r="C33" t="s">
        <v>74</v>
      </c>
      <c r="D33" t="s">
        <v>74</v>
      </c>
      <c r="E33" t="s">
        <v>74</v>
      </c>
      <c r="F33" t="s">
        <v>594</v>
      </c>
      <c r="G33" t="s">
        <v>74</v>
      </c>
      <c r="H33" t="s">
        <v>74</v>
      </c>
      <c r="I33" t="s">
        <v>595</v>
      </c>
      <c r="J33" t="s">
        <v>478</v>
      </c>
      <c r="K33" t="s">
        <v>74</v>
      </c>
      <c r="L33" t="s">
        <v>74</v>
      </c>
      <c r="M33" t="s">
        <v>77</v>
      </c>
      <c r="N33" t="s">
        <v>596</v>
      </c>
      <c r="O33" t="s">
        <v>74</v>
      </c>
      <c r="P33" t="s">
        <v>74</v>
      </c>
      <c r="Q33" t="s">
        <v>74</v>
      </c>
      <c r="R33" t="s">
        <v>74</v>
      </c>
      <c r="S33" t="s">
        <v>74</v>
      </c>
      <c r="T33" t="s">
        <v>597</v>
      </c>
      <c r="U33" t="s">
        <v>598</v>
      </c>
      <c r="V33" t="s">
        <v>599</v>
      </c>
      <c r="W33" t="s">
        <v>600</v>
      </c>
      <c r="X33" t="s">
        <v>601</v>
      </c>
      <c r="Y33" t="s">
        <v>602</v>
      </c>
      <c r="Z33" t="s">
        <v>603</v>
      </c>
      <c r="AA33" t="s">
        <v>604</v>
      </c>
      <c r="AB33" t="s">
        <v>605</v>
      </c>
      <c r="AC33" t="s">
        <v>74</v>
      </c>
      <c r="AD33" t="s">
        <v>74</v>
      </c>
      <c r="AE33" t="s">
        <v>74</v>
      </c>
      <c r="AF33" t="s">
        <v>74</v>
      </c>
      <c r="AG33">
        <v>28</v>
      </c>
      <c r="AH33">
        <v>3</v>
      </c>
      <c r="AI33">
        <v>3</v>
      </c>
      <c r="AJ33">
        <v>0</v>
      </c>
      <c r="AK33">
        <v>3</v>
      </c>
      <c r="AL33" t="s">
        <v>349</v>
      </c>
      <c r="AM33" t="s">
        <v>350</v>
      </c>
      <c r="AN33" t="s">
        <v>351</v>
      </c>
      <c r="AO33" t="s">
        <v>490</v>
      </c>
      <c r="AP33" t="s">
        <v>491</v>
      </c>
      <c r="AQ33" t="s">
        <v>74</v>
      </c>
      <c r="AR33" t="s">
        <v>492</v>
      </c>
      <c r="AS33" t="s">
        <v>493</v>
      </c>
      <c r="AT33" t="s">
        <v>606</v>
      </c>
      <c r="AU33">
        <v>2001</v>
      </c>
      <c r="AV33">
        <v>192</v>
      </c>
      <c r="AW33">
        <v>4</v>
      </c>
      <c r="AX33" t="s">
        <v>74</v>
      </c>
      <c r="AY33" t="s">
        <v>74</v>
      </c>
      <c r="AZ33" t="s">
        <v>74</v>
      </c>
      <c r="BA33" t="s">
        <v>74</v>
      </c>
      <c r="BB33">
        <v>631</v>
      </c>
      <c r="BC33" t="s">
        <v>607</v>
      </c>
      <c r="BD33" t="s">
        <v>74</v>
      </c>
      <c r="BE33" t="s">
        <v>608</v>
      </c>
      <c r="BF33" t="str">
        <f>HYPERLINK("http://dx.doi.org/10.1016/S0012-821X(01)00462-9","http://dx.doi.org/10.1016/S0012-821X(01)00462-9")</f>
        <v>http://dx.doi.org/10.1016/S0012-821X(01)00462-9</v>
      </c>
      <c r="BG33" t="s">
        <v>74</v>
      </c>
      <c r="BH33" t="s">
        <v>74</v>
      </c>
      <c r="BI33">
        <v>17</v>
      </c>
      <c r="BJ33" t="s">
        <v>388</v>
      </c>
      <c r="BK33" t="s">
        <v>88</v>
      </c>
      <c r="BL33" t="s">
        <v>388</v>
      </c>
      <c r="BM33" t="s">
        <v>609</v>
      </c>
      <c r="BN33" t="s">
        <v>74</v>
      </c>
      <c r="BO33" t="s">
        <v>74</v>
      </c>
      <c r="BP33" t="s">
        <v>74</v>
      </c>
      <c r="BQ33" t="s">
        <v>74</v>
      </c>
      <c r="BR33" t="s">
        <v>91</v>
      </c>
      <c r="BS33" t="s">
        <v>610</v>
      </c>
      <c r="BT33" t="str">
        <f>HYPERLINK("https%3A%2F%2Fwww.webofscience.com%2Fwos%2Fwoscc%2Ffull-record%2FWOS:000172456500016","View Full Record in Web of Science")</f>
        <v>View Full Record in Web of Science</v>
      </c>
    </row>
    <row r="34" spans="1:72" x14ac:dyDescent="0.15">
      <c r="A34" t="s">
        <v>72</v>
      </c>
      <c r="B34" t="s">
        <v>611</v>
      </c>
      <c r="C34" t="s">
        <v>74</v>
      </c>
      <c r="D34" t="s">
        <v>74</v>
      </c>
      <c r="E34" t="s">
        <v>74</v>
      </c>
      <c r="F34" t="s">
        <v>611</v>
      </c>
      <c r="G34" t="s">
        <v>74</v>
      </c>
      <c r="H34" t="s">
        <v>74</v>
      </c>
      <c r="I34" t="s">
        <v>612</v>
      </c>
      <c r="J34" t="s">
        <v>613</v>
      </c>
      <c r="K34" t="s">
        <v>74</v>
      </c>
      <c r="L34" t="s">
        <v>74</v>
      </c>
      <c r="M34" t="s">
        <v>77</v>
      </c>
      <c r="N34" t="s">
        <v>120</v>
      </c>
      <c r="O34" t="s">
        <v>74</v>
      </c>
      <c r="P34" t="s">
        <v>74</v>
      </c>
      <c r="Q34" t="s">
        <v>74</v>
      </c>
      <c r="R34" t="s">
        <v>74</v>
      </c>
      <c r="S34" t="s">
        <v>74</v>
      </c>
      <c r="T34" t="s">
        <v>74</v>
      </c>
      <c r="U34" t="s">
        <v>614</v>
      </c>
      <c r="V34" t="s">
        <v>615</v>
      </c>
      <c r="W34" t="s">
        <v>616</v>
      </c>
      <c r="X34" t="s">
        <v>617</v>
      </c>
      <c r="Y34" t="s">
        <v>618</v>
      </c>
      <c r="Z34" t="s">
        <v>74</v>
      </c>
      <c r="AA34" t="s">
        <v>74</v>
      </c>
      <c r="AB34" t="s">
        <v>74</v>
      </c>
      <c r="AC34" t="s">
        <v>74</v>
      </c>
      <c r="AD34" t="s">
        <v>74</v>
      </c>
      <c r="AE34" t="s">
        <v>74</v>
      </c>
      <c r="AF34" t="s">
        <v>74</v>
      </c>
      <c r="AG34">
        <v>24</v>
      </c>
      <c r="AH34">
        <v>2</v>
      </c>
      <c r="AI34">
        <v>2</v>
      </c>
      <c r="AJ34">
        <v>0</v>
      </c>
      <c r="AK34">
        <v>4</v>
      </c>
      <c r="AL34" t="s">
        <v>149</v>
      </c>
      <c r="AM34" t="s">
        <v>150</v>
      </c>
      <c r="AN34" t="s">
        <v>151</v>
      </c>
      <c r="AO34" t="s">
        <v>619</v>
      </c>
      <c r="AP34" t="s">
        <v>74</v>
      </c>
      <c r="AQ34" t="s">
        <v>74</v>
      </c>
      <c r="AR34" t="s">
        <v>620</v>
      </c>
      <c r="AS34" t="s">
        <v>621</v>
      </c>
      <c r="AT34" t="s">
        <v>606</v>
      </c>
      <c r="AU34">
        <v>2001</v>
      </c>
      <c r="AV34">
        <v>28</v>
      </c>
      <c r="AW34">
        <v>22</v>
      </c>
      <c r="AX34" t="s">
        <v>74</v>
      </c>
      <c r="AY34" t="s">
        <v>74</v>
      </c>
      <c r="AZ34" t="s">
        <v>74</v>
      </c>
      <c r="BA34" t="s">
        <v>74</v>
      </c>
      <c r="BB34">
        <v>4219</v>
      </c>
      <c r="BC34">
        <v>4222</v>
      </c>
      <c r="BD34" t="s">
        <v>74</v>
      </c>
      <c r="BE34" t="s">
        <v>622</v>
      </c>
      <c r="BF34" t="str">
        <f>HYPERLINK("http://dx.doi.org/10.1029/2000GL012744","http://dx.doi.org/10.1029/2000GL012744")</f>
        <v>http://dx.doi.org/10.1029/2000GL012744</v>
      </c>
      <c r="BG34" t="s">
        <v>74</v>
      </c>
      <c r="BH34" t="s">
        <v>74</v>
      </c>
      <c r="BI34">
        <v>4</v>
      </c>
      <c r="BJ34" t="s">
        <v>300</v>
      </c>
      <c r="BK34" t="s">
        <v>88</v>
      </c>
      <c r="BL34" t="s">
        <v>113</v>
      </c>
      <c r="BM34" t="s">
        <v>623</v>
      </c>
      <c r="BN34" t="s">
        <v>74</v>
      </c>
      <c r="BO34" t="s">
        <v>74</v>
      </c>
      <c r="BP34" t="s">
        <v>74</v>
      </c>
      <c r="BQ34" t="s">
        <v>74</v>
      </c>
      <c r="BR34" t="s">
        <v>91</v>
      </c>
      <c r="BS34" t="s">
        <v>624</v>
      </c>
      <c r="BT34" t="str">
        <f>HYPERLINK("https%3A%2F%2Fwww.webofscience.com%2Fwos%2Fwoscc%2Ffull-record%2FWOS:000172032400017","View Full Record in Web of Science")</f>
        <v>View Full Record in Web of Science</v>
      </c>
    </row>
    <row r="35" spans="1:72" x14ac:dyDescent="0.15">
      <c r="A35" t="s">
        <v>72</v>
      </c>
      <c r="B35" t="s">
        <v>625</v>
      </c>
      <c r="C35" t="s">
        <v>74</v>
      </c>
      <c r="D35" t="s">
        <v>74</v>
      </c>
      <c r="E35" t="s">
        <v>74</v>
      </c>
      <c r="F35" t="s">
        <v>625</v>
      </c>
      <c r="G35" t="s">
        <v>74</v>
      </c>
      <c r="H35" t="s">
        <v>74</v>
      </c>
      <c r="I35" t="s">
        <v>626</v>
      </c>
      <c r="J35" t="s">
        <v>613</v>
      </c>
      <c r="K35" t="s">
        <v>74</v>
      </c>
      <c r="L35" t="s">
        <v>74</v>
      </c>
      <c r="M35" t="s">
        <v>77</v>
      </c>
      <c r="N35" t="s">
        <v>120</v>
      </c>
      <c r="O35" t="s">
        <v>74</v>
      </c>
      <c r="P35" t="s">
        <v>74</v>
      </c>
      <c r="Q35" t="s">
        <v>74</v>
      </c>
      <c r="R35" t="s">
        <v>74</v>
      </c>
      <c r="S35" t="s">
        <v>74</v>
      </c>
      <c r="T35" t="s">
        <v>74</v>
      </c>
      <c r="U35" t="s">
        <v>627</v>
      </c>
      <c r="V35" t="s">
        <v>628</v>
      </c>
      <c r="W35" t="s">
        <v>629</v>
      </c>
      <c r="X35" t="s">
        <v>630</v>
      </c>
      <c r="Y35" t="s">
        <v>631</v>
      </c>
      <c r="Z35" t="s">
        <v>74</v>
      </c>
      <c r="AA35" t="s">
        <v>632</v>
      </c>
      <c r="AB35" t="s">
        <v>633</v>
      </c>
      <c r="AC35" t="s">
        <v>74</v>
      </c>
      <c r="AD35" t="s">
        <v>74</v>
      </c>
      <c r="AE35" t="s">
        <v>74</v>
      </c>
      <c r="AF35" t="s">
        <v>74</v>
      </c>
      <c r="AG35">
        <v>26</v>
      </c>
      <c r="AH35">
        <v>97</v>
      </c>
      <c r="AI35">
        <v>102</v>
      </c>
      <c r="AJ35">
        <v>1</v>
      </c>
      <c r="AK35">
        <v>17</v>
      </c>
      <c r="AL35" t="s">
        <v>149</v>
      </c>
      <c r="AM35" t="s">
        <v>150</v>
      </c>
      <c r="AN35" t="s">
        <v>151</v>
      </c>
      <c r="AO35" t="s">
        <v>619</v>
      </c>
      <c r="AP35" t="s">
        <v>74</v>
      </c>
      <c r="AQ35" t="s">
        <v>74</v>
      </c>
      <c r="AR35" t="s">
        <v>620</v>
      </c>
      <c r="AS35" t="s">
        <v>621</v>
      </c>
      <c r="AT35" t="s">
        <v>606</v>
      </c>
      <c r="AU35">
        <v>2001</v>
      </c>
      <c r="AV35">
        <v>28</v>
      </c>
      <c r="AW35">
        <v>22</v>
      </c>
      <c r="AX35" t="s">
        <v>74</v>
      </c>
      <c r="AY35" t="s">
        <v>74</v>
      </c>
      <c r="AZ35" t="s">
        <v>74</v>
      </c>
      <c r="BA35" t="s">
        <v>74</v>
      </c>
      <c r="BB35">
        <v>4243</v>
      </c>
      <c r="BC35">
        <v>4246</v>
      </c>
      <c r="BD35" t="s">
        <v>74</v>
      </c>
      <c r="BE35" t="s">
        <v>634</v>
      </c>
      <c r="BF35" t="str">
        <f>HYPERLINK("http://dx.doi.org/10.1029/2000GL011981","http://dx.doi.org/10.1029/2000GL011981")</f>
        <v>http://dx.doi.org/10.1029/2000GL011981</v>
      </c>
      <c r="BG35" t="s">
        <v>74</v>
      </c>
      <c r="BH35" t="s">
        <v>74</v>
      </c>
      <c r="BI35">
        <v>4</v>
      </c>
      <c r="BJ35" t="s">
        <v>300</v>
      </c>
      <c r="BK35" t="s">
        <v>88</v>
      </c>
      <c r="BL35" t="s">
        <v>113</v>
      </c>
      <c r="BM35" t="s">
        <v>623</v>
      </c>
      <c r="BN35" t="s">
        <v>74</v>
      </c>
      <c r="BO35" t="s">
        <v>563</v>
      </c>
      <c r="BP35" t="s">
        <v>74</v>
      </c>
      <c r="BQ35" t="s">
        <v>74</v>
      </c>
      <c r="BR35" t="s">
        <v>91</v>
      </c>
      <c r="BS35" t="s">
        <v>635</v>
      </c>
      <c r="BT35" t="str">
        <f>HYPERLINK("https%3A%2F%2Fwww.webofscience.com%2Fwos%2Fwoscc%2Ffull-record%2FWOS:000172032400023","View Full Record in Web of Science")</f>
        <v>View Full Record in Web of Science</v>
      </c>
    </row>
    <row r="36" spans="1:72" x14ac:dyDescent="0.15">
      <c r="A36" t="s">
        <v>72</v>
      </c>
      <c r="B36" t="s">
        <v>636</v>
      </c>
      <c r="C36" t="s">
        <v>74</v>
      </c>
      <c r="D36" t="s">
        <v>74</v>
      </c>
      <c r="E36" t="s">
        <v>74</v>
      </c>
      <c r="F36" t="s">
        <v>636</v>
      </c>
      <c r="G36" t="s">
        <v>74</v>
      </c>
      <c r="H36" t="s">
        <v>74</v>
      </c>
      <c r="I36" t="s">
        <v>637</v>
      </c>
      <c r="J36" t="s">
        <v>638</v>
      </c>
      <c r="K36" t="s">
        <v>74</v>
      </c>
      <c r="L36" t="s">
        <v>74</v>
      </c>
      <c r="M36" t="s">
        <v>77</v>
      </c>
      <c r="N36" t="s">
        <v>120</v>
      </c>
      <c r="O36" t="s">
        <v>74</v>
      </c>
      <c r="P36" t="s">
        <v>74</v>
      </c>
      <c r="Q36" t="s">
        <v>74</v>
      </c>
      <c r="R36" t="s">
        <v>74</v>
      </c>
      <c r="S36" t="s">
        <v>74</v>
      </c>
      <c r="T36" t="s">
        <v>639</v>
      </c>
      <c r="U36" t="s">
        <v>640</v>
      </c>
      <c r="V36" t="s">
        <v>641</v>
      </c>
      <c r="W36" t="s">
        <v>642</v>
      </c>
      <c r="X36" t="s">
        <v>643</v>
      </c>
      <c r="Y36" t="s">
        <v>644</v>
      </c>
      <c r="Z36" t="s">
        <v>645</v>
      </c>
      <c r="AA36" t="s">
        <v>74</v>
      </c>
      <c r="AB36" t="s">
        <v>74</v>
      </c>
      <c r="AC36" t="s">
        <v>74</v>
      </c>
      <c r="AD36" t="s">
        <v>74</v>
      </c>
      <c r="AE36" t="s">
        <v>74</v>
      </c>
      <c r="AF36" t="s">
        <v>74</v>
      </c>
      <c r="AG36">
        <v>63</v>
      </c>
      <c r="AH36">
        <v>16</v>
      </c>
      <c r="AI36">
        <v>18</v>
      </c>
      <c r="AJ36">
        <v>0</v>
      </c>
      <c r="AK36">
        <v>7</v>
      </c>
      <c r="AL36" t="s">
        <v>488</v>
      </c>
      <c r="AM36" t="s">
        <v>350</v>
      </c>
      <c r="AN36" t="s">
        <v>489</v>
      </c>
      <c r="AO36" t="s">
        <v>646</v>
      </c>
      <c r="AP36" t="s">
        <v>647</v>
      </c>
      <c r="AQ36" t="s">
        <v>74</v>
      </c>
      <c r="AR36" t="s">
        <v>648</v>
      </c>
      <c r="AS36" t="s">
        <v>649</v>
      </c>
      <c r="AT36" t="s">
        <v>606</v>
      </c>
      <c r="AU36">
        <v>2001</v>
      </c>
      <c r="AV36">
        <v>265</v>
      </c>
      <c r="AW36">
        <v>2</v>
      </c>
      <c r="AX36" t="s">
        <v>74</v>
      </c>
      <c r="AY36" t="s">
        <v>74</v>
      </c>
      <c r="AZ36" t="s">
        <v>74</v>
      </c>
      <c r="BA36" t="s">
        <v>74</v>
      </c>
      <c r="BB36">
        <v>181</v>
      </c>
      <c r="BC36">
        <v>201</v>
      </c>
      <c r="BD36" t="s">
        <v>74</v>
      </c>
      <c r="BE36" t="s">
        <v>650</v>
      </c>
      <c r="BF36" t="str">
        <f>HYPERLINK("http://dx.doi.org/10.1016/S0022-0981(01)00331-8","http://dx.doi.org/10.1016/S0022-0981(01)00331-8")</f>
        <v>http://dx.doi.org/10.1016/S0022-0981(01)00331-8</v>
      </c>
      <c r="BG36" t="s">
        <v>74</v>
      </c>
      <c r="BH36" t="s">
        <v>74</v>
      </c>
      <c r="BI36">
        <v>21</v>
      </c>
      <c r="BJ36" t="s">
        <v>429</v>
      </c>
      <c r="BK36" t="s">
        <v>88</v>
      </c>
      <c r="BL36" t="s">
        <v>89</v>
      </c>
      <c r="BM36" t="s">
        <v>651</v>
      </c>
      <c r="BN36" t="s">
        <v>74</v>
      </c>
      <c r="BO36" t="s">
        <v>74</v>
      </c>
      <c r="BP36" t="s">
        <v>74</v>
      </c>
      <c r="BQ36" t="s">
        <v>74</v>
      </c>
      <c r="BR36" t="s">
        <v>91</v>
      </c>
      <c r="BS36" t="s">
        <v>652</v>
      </c>
      <c r="BT36" t="str">
        <f>HYPERLINK("https%3A%2F%2Fwww.webofscience.com%2Fwos%2Fwoscc%2Ffull-record%2FWOS:000171810600005","View Full Record in Web of Science")</f>
        <v>View Full Record in Web of Science</v>
      </c>
    </row>
    <row r="37" spans="1:72" x14ac:dyDescent="0.15">
      <c r="A37" t="s">
        <v>72</v>
      </c>
      <c r="B37" t="s">
        <v>653</v>
      </c>
      <c r="C37" t="s">
        <v>74</v>
      </c>
      <c r="D37" t="s">
        <v>74</v>
      </c>
      <c r="E37" t="s">
        <v>74</v>
      </c>
      <c r="F37" t="s">
        <v>653</v>
      </c>
      <c r="G37" t="s">
        <v>74</v>
      </c>
      <c r="H37" t="s">
        <v>74</v>
      </c>
      <c r="I37" t="s">
        <v>654</v>
      </c>
      <c r="J37" t="s">
        <v>655</v>
      </c>
      <c r="K37" t="s">
        <v>74</v>
      </c>
      <c r="L37" t="s">
        <v>74</v>
      </c>
      <c r="M37" t="s">
        <v>77</v>
      </c>
      <c r="N37" t="s">
        <v>120</v>
      </c>
      <c r="O37" t="s">
        <v>74</v>
      </c>
      <c r="P37" t="s">
        <v>74</v>
      </c>
      <c r="Q37" t="s">
        <v>74</v>
      </c>
      <c r="R37" t="s">
        <v>74</v>
      </c>
      <c r="S37" t="s">
        <v>74</v>
      </c>
      <c r="T37" t="s">
        <v>74</v>
      </c>
      <c r="U37" t="s">
        <v>656</v>
      </c>
      <c r="V37" t="s">
        <v>657</v>
      </c>
      <c r="W37" t="s">
        <v>658</v>
      </c>
      <c r="X37" t="s">
        <v>617</v>
      </c>
      <c r="Y37" t="s">
        <v>659</v>
      </c>
      <c r="Z37" t="s">
        <v>660</v>
      </c>
      <c r="AA37" t="s">
        <v>661</v>
      </c>
      <c r="AB37" t="s">
        <v>74</v>
      </c>
      <c r="AC37" t="s">
        <v>74</v>
      </c>
      <c r="AD37" t="s">
        <v>74</v>
      </c>
      <c r="AE37" t="s">
        <v>74</v>
      </c>
      <c r="AF37" t="s">
        <v>74</v>
      </c>
      <c r="AG37">
        <v>57</v>
      </c>
      <c r="AH37">
        <v>34</v>
      </c>
      <c r="AI37">
        <v>37</v>
      </c>
      <c r="AJ37">
        <v>3</v>
      </c>
      <c r="AK37">
        <v>8</v>
      </c>
      <c r="AL37" t="s">
        <v>149</v>
      </c>
      <c r="AM37" t="s">
        <v>150</v>
      </c>
      <c r="AN37" t="s">
        <v>151</v>
      </c>
      <c r="AO37" t="s">
        <v>662</v>
      </c>
      <c r="AP37" t="s">
        <v>663</v>
      </c>
      <c r="AQ37" t="s">
        <v>74</v>
      </c>
      <c r="AR37" t="s">
        <v>664</v>
      </c>
      <c r="AS37" t="s">
        <v>665</v>
      </c>
      <c r="AT37" t="s">
        <v>606</v>
      </c>
      <c r="AU37">
        <v>2001</v>
      </c>
      <c r="AV37">
        <v>106</v>
      </c>
      <c r="AW37" t="s">
        <v>666</v>
      </c>
      <c r="AX37" t="s">
        <v>74</v>
      </c>
      <c r="AY37" t="s">
        <v>74</v>
      </c>
      <c r="AZ37" t="s">
        <v>74</v>
      </c>
      <c r="BA37" t="s">
        <v>74</v>
      </c>
      <c r="BB37">
        <v>27001</v>
      </c>
      <c r="BC37">
        <v>27016</v>
      </c>
      <c r="BD37" t="s">
        <v>74</v>
      </c>
      <c r="BE37" t="s">
        <v>667</v>
      </c>
      <c r="BF37" t="str">
        <f>HYPERLINK("http://dx.doi.org/10.1029/2000JC000475","http://dx.doi.org/10.1029/2000JC000475")</f>
        <v>http://dx.doi.org/10.1029/2000JC000475</v>
      </c>
      <c r="BG37" t="s">
        <v>74</v>
      </c>
      <c r="BH37" t="s">
        <v>74</v>
      </c>
      <c r="BI37">
        <v>16</v>
      </c>
      <c r="BJ37" t="s">
        <v>668</v>
      </c>
      <c r="BK37" t="s">
        <v>88</v>
      </c>
      <c r="BL37" t="s">
        <v>668</v>
      </c>
      <c r="BM37" t="s">
        <v>669</v>
      </c>
      <c r="BN37" t="s">
        <v>74</v>
      </c>
      <c r="BO37" t="s">
        <v>171</v>
      </c>
      <c r="BP37" t="s">
        <v>74</v>
      </c>
      <c r="BQ37" t="s">
        <v>74</v>
      </c>
      <c r="BR37" t="s">
        <v>91</v>
      </c>
      <c r="BS37" t="s">
        <v>670</v>
      </c>
      <c r="BT37" t="str">
        <f>HYPERLINK("https%3A%2F%2Fwww.webofscience.com%2Fwos%2Fwoscc%2Ffull-record%2FWOS:000172105300014","View Full Record in Web of Science")</f>
        <v>View Full Record in Web of Science</v>
      </c>
    </row>
    <row r="38" spans="1:72" x14ac:dyDescent="0.15">
      <c r="A38" t="s">
        <v>72</v>
      </c>
      <c r="B38" t="s">
        <v>653</v>
      </c>
      <c r="C38" t="s">
        <v>74</v>
      </c>
      <c r="D38" t="s">
        <v>74</v>
      </c>
      <c r="E38" t="s">
        <v>74</v>
      </c>
      <c r="F38" t="s">
        <v>653</v>
      </c>
      <c r="G38" t="s">
        <v>74</v>
      </c>
      <c r="H38" t="s">
        <v>74</v>
      </c>
      <c r="I38" t="s">
        <v>671</v>
      </c>
      <c r="J38" t="s">
        <v>655</v>
      </c>
      <c r="K38" t="s">
        <v>74</v>
      </c>
      <c r="L38" t="s">
        <v>74</v>
      </c>
      <c r="M38" t="s">
        <v>77</v>
      </c>
      <c r="N38" t="s">
        <v>120</v>
      </c>
      <c r="O38" t="s">
        <v>74</v>
      </c>
      <c r="P38" t="s">
        <v>74</v>
      </c>
      <c r="Q38" t="s">
        <v>74</v>
      </c>
      <c r="R38" t="s">
        <v>74</v>
      </c>
      <c r="S38" t="s">
        <v>74</v>
      </c>
      <c r="T38" t="s">
        <v>74</v>
      </c>
      <c r="U38" t="s">
        <v>672</v>
      </c>
      <c r="V38" t="s">
        <v>673</v>
      </c>
      <c r="W38" t="s">
        <v>658</v>
      </c>
      <c r="X38" t="s">
        <v>617</v>
      </c>
      <c r="Y38" t="s">
        <v>659</v>
      </c>
      <c r="Z38" t="s">
        <v>74</v>
      </c>
      <c r="AA38" t="s">
        <v>661</v>
      </c>
      <c r="AB38" t="s">
        <v>74</v>
      </c>
      <c r="AC38" t="s">
        <v>74</v>
      </c>
      <c r="AD38" t="s">
        <v>74</v>
      </c>
      <c r="AE38" t="s">
        <v>74</v>
      </c>
      <c r="AF38" t="s">
        <v>74</v>
      </c>
      <c r="AG38">
        <v>11</v>
      </c>
      <c r="AH38">
        <v>33</v>
      </c>
      <c r="AI38">
        <v>33</v>
      </c>
      <c r="AJ38">
        <v>1</v>
      </c>
      <c r="AK38">
        <v>4</v>
      </c>
      <c r="AL38" t="s">
        <v>149</v>
      </c>
      <c r="AM38" t="s">
        <v>150</v>
      </c>
      <c r="AN38" t="s">
        <v>151</v>
      </c>
      <c r="AO38" t="s">
        <v>662</v>
      </c>
      <c r="AP38" t="s">
        <v>663</v>
      </c>
      <c r="AQ38" t="s">
        <v>74</v>
      </c>
      <c r="AR38" t="s">
        <v>664</v>
      </c>
      <c r="AS38" t="s">
        <v>665</v>
      </c>
      <c r="AT38" t="s">
        <v>606</v>
      </c>
      <c r="AU38">
        <v>2001</v>
      </c>
      <c r="AV38">
        <v>106</v>
      </c>
      <c r="AW38" t="s">
        <v>666</v>
      </c>
      <c r="AX38" t="s">
        <v>74</v>
      </c>
      <c r="AY38" t="s">
        <v>74</v>
      </c>
      <c r="AZ38" t="s">
        <v>74</v>
      </c>
      <c r="BA38" t="s">
        <v>74</v>
      </c>
      <c r="BB38">
        <v>27017</v>
      </c>
      <c r="BC38">
        <v>27034</v>
      </c>
      <c r="BD38" t="s">
        <v>74</v>
      </c>
      <c r="BE38" t="s">
        <v>674</v>
      </c>
      <c r="BF38" t="str">
        <f>HYPERLINK("http://dx.doi.org/10.1029/2000JC000476","http://dx.doi.org/10.1029/2000JC000476")</f>
        <v>http://dx.doi.org/10.1029/2000JC000476</v>
      </c>
      <c r="BG38" t="s">
        <v>74</v>
      </c>
      <c r="BH38" t="s">
        <v>74</v>
      </c>
      <c r="BI38">
        <v>18</v>
      </c>
      <c r="BJ38" t="s">
        <v>668</v>
      </c>
      <c r="BK38" t="s">
        <v>88</v>
      </c>
      <c r="BL38" t="s">
        <v>668</v>
      </c>
      <c r="BM38" t="s">
        <v>669</v>
      </c>
      <c r="BN38" t="s">
        <v>74</v>
      </c>
      <c r="BO38" t="s">
        <v>74</v>
      </c>
      <c r="BP38" t="s">
        <v>74</v>
      </c>
      <c r="BQ38" t="s">
        <v>74</v>
      </c>
      <c r="BR38" t="s">
        <v>91</v>
      </c>
      <c r="BS38" t="s">
        <v>675</v>
      </c>
      <c r="BT38" t="str">
        <f>HYPERLINK("https%3A%2F%2Fwww.webofscience.com%2Fwos%2Fwoscc%2Ffull-record%2FWOS:000172105300015","View Full Record in Web of Science")</f>
        <v>View Full Record in Web of Science</v>
      </c>
    </row>
    <row r="39" spans="1:72" x14ac:dyDescent="0.15">
      <c r="A39" t="s">
        <v>72</v>
      </c>
      <c r="B39" t="s">
        <v>676</v>
      </c>
      <c r="C39" t="s">
        <v>74</v>
      </c>
      <c r="D39" t="s">
        <v>74</v>
      </c>
      <c r="E39" t="s">
        <v>74</v>
      </c>
      <c r="F39" t="s">
        <v>676</v>
      </c>
      <c r="G39" t="s">
        <v>74</v>
      </c>
      <c r="H39" t="s">
        <v>74</v>
      </c>
      <c r="I39" t="s">
        <v>677</v>
      </c>
      <c r="J39" t="s">
        <v>678</v>
      </c>
      <c r="K39" t="s">
        <v>74</v>
      </c>
      <c r="L39" t="s">
        <v>74</v>
      </c>
      <c r="M39" t="s">
        <v>77</v>
      </c>
      <c r="N39" t="s">
        <v>120</v>
      </c>
      <c r="O39" t="s">
        <v>74</v>
      </c>
      <c r="P39" t="s">
        <v>74</v>
      </c>
      <c r="Q39" t="s">
        <v>74</v>
      </c>
      <c r="R39" t="s">
        <v>74</v>
      </c>
      <c r="S39" t="s">
        <v>74</v>
      </c>
      <c r="T39" t="s">
        <v>74</v>
      </c>
      <c r="U39" t="s">
        <v>74</v>
      </c>
      <c r="V39" t="s">
        <v>679</v>
      </c>
      <c r="W39" t="s">
        <v>680</v>
      </c>
      <c r="X39" t="s">
        <v>681</v>
      </c>
      <c r="Y39" t="s">
        <v>682</v>
      </c>
      <c r="Z39" t="s">
        <v>74</v>
      </c>
      <c r="AA39" t="s">
        <v>74</v>
      </c>
      <c r="AB39" t="s">
        <v>74</v>
      </c>
      <c r="AC39" t="s">
        <v>74</v>
      </c>
      <c r="AD39" t="s">
        <v>74</v>
      </c>
      <c r="AE39" t="s">
        <v>74</v>
      </c>
      <c r="AF39" t="s">
        <v>74</v>
      </c>
      <c r="AG39">
        <v>4</v>
      </c>
      <c r="AH39">
        <v>7</v>
      </c>
      <c r="AI39">
        <v>7</v>
      </c>
      <c r="AJ39">
        <v>0</v>
      </c>
      <c r="AK39">
        <v>3</v>
      </c>
      <c r="AL39" t="s">
        <v>104</v>
      </c>
      <c r="AM39" t="s">
        <v>683</v>
      </c>
      <c r="AN39" t="s">
        <v>684</v>
      </c>
      <c r="AO39" t="s">
        <v>685</v>
      </c>
      <c r="AP39" t="s">
        <v>74</v>
      </c>
      <c r="AQ39" t="s">
        <v>74</v>
      </c>
      <c r="AR39" t="s">
        <v>686</v>
      </c>
      <c r="AS39" t="s">
        <v>687</v>
      </c>
      <c r="AT39" t="s">
        <v>688</v>
      </c>
      <c r="AU39">
        <v>2001</v>
      </c>
      <c r="AV39">
        <v>22</v>
      </c>
      <c r="AW39">
        <v>16</v>
      </c>
      <c r="AX39" t="s">
        <v>74</v>
      </c>
      <c r="AY39" t="s">
        <v>74</v>
      </c>
      <c r="AZ39" t="s">
        <v>74</v>
      </c>
      <c r="BA39" t="s">
        <v>74</v>
      </c>
      <c r="BB39">
        <v>3253</v>
      </c>
      <c r="BC39">
        <v>3259</v>
      </c>
      <c r="BD39" t="s">
        <v>74</v>
      </c>
      <c r="BE39" t="s">
        <v>689</v>
      </c>
      <c r="BF39" t="str">
        <f>HYPERLINK("http://dx.doi.org/10.1080/01431160110053581","http://dx.doi.org/10.1080/01431160110053581")</f>
        <v>http://dx.doi.org/10.1080/01431160110053581</v>
      </c>
      <c r="BG39" t="s">
        <v>74</v>
      </c>
      <c r="BH39" t="s">
        <v>74</v>
      </c>
      <c r="BI39">
        <v>7</v>
      </c>
      <c r="BJ39" t="s">
        <v>690</v>
      </c>
      <c r="BK39" t="s">
        <v>88</v>
      </c>
      <c r="BL39" t="s">
        <v>690</v>
      </c>
      <c r="BM39" t="s">
        <v>691</v>
      </c>
      <c r="BN39" t="s">
        <v>74</v>
      </c>
      <c r="BO39" t="s">
        <v>74</v>
      </c>
      <c r="BP39" t="s">
        <v>74</v>
      </c>
      <c r="BQ39" t="s">
        <v>74</v>
      </c>
      <c r="BR39" t="s">
        <v>91</v>
      </c>
      <c r="BS39" t="s">
        <v>692</v>
      </c>
      <c r="BT39" t="str">
        <f>HYPERLINK("https%3A%2F%2Fwww.webofscience.com%2Fwos%2Fwoscc%2Ffull-record%2FWOS:000171461200012","View Full Record in Web of Science")</f>
        <v>View Full Record in Web of Science</v>
      </c>
    </row>
    <row r="40" spans="1:72" x14ac:dyDescent="0.15">
      <c r="A40" t="s">
        <v>72</v>
      </c>
      <c r="B40" t="s">
        <v>693</v>
      </c>
      <c r="C40" t="s">
        <v>74</v>
      </c>
      <c r="D40" t="s">
        <v>74</v>
      </c>
      <c r="E40" t="s">
        <v>74</v>
      </c>
      <c r="F40" t="s">
        <v>693</v>
      </c>
      <c r="G40" t="s">
        <v>74</v>
      </c>
      <c r="H40" t="s">
        <v>74</v>
      </c>
      <c r="I40" t="s">
        <v>694</v>
      </c>
      <c r="J40" t="s">
        <v>695</v>
      </c>
      <c r="K40" t="s">
        <v>74</v>
      </c>
      <c r="L40" t="s">
        <v>74</v>
      </c>
      <c r="M40" t="s">
        <v>77</v>
      </c>
      <c r="N40" t="s">
        <v>696</v>
      </c>
      <c r="O40" t="s">
        <v>74</v>
      </c>
      <c r="P40" t="s">
        <v>74</v>
      </c>
      <c r="Q40" t="s">
        <v>74</v>
      </c>
      <c r="R40" t="s">
        <v>74</v>
      </c>
      <c r="S40" t="s">
        <v>74</v>
      </c>
      <c r="T40" t="s">
        <v>74</v>
      </c>
      <c r="U40" t="s">
        <v>74</v>
      </c>
      <c r="V40" t="s">
        <v>74</v>
      </c>
      <c r="W40" t="s">
        <v>697</v>
      </c>
      <c r="X40" t="s">
        <v>698</v>
      </c>
      <c r="Y40" t="s">
        <v>699</v>
      </c>
      <c r="Z40" t="s">
        <v>74</v>
      </c>
      <c r="AA40" t="s">
        <v>74</v>
      </c>
      <c r="AB40" t="s">
        <v>74</v>
      </c>
      <c r="AC40" t="s">
        <v>74</v>
      </c>
      <c r="AD40" t="s">
        <v>74</v>
      </c>
      <c r="AE40" t="s">
        <v>74</v>
      </c>
      <c r="AF40" t="s">
        <v>74</v>
      </c>
      <c r="AG40">
        <v>4</v>
      </c>
      <c r="AH40">
        <v>0</v>
      </c>
      <c r="AI40">
        <v>0</v>
      </c>
      <c r="AJ40">
        <v>0</v>
      </c>
      <c r="AK40">
        <v>1</v>
      </c>
      <c r="AL40" t="s">
        <v>700</v>
      </c>
      <c r="AM40" t="s">
        <v>683</v>
      </c>
      <c r="AN40" t="s">
        <v>701</v>
      </c>
      <c r="AO40" t="s">
        <v>702</v>
      </c>
      <c r="AP40" t="s">
        <v>74</v>
      </c>
      <c r="AQ40" t="s">
        <v>74</v>
      </c>
      <c r="AR40" t="s">
        <v>695</v>
      </c>
      <c r="AS40" t="s">
        <v>703</v>
      </c>
      <c r="AT40" t="s">
        <v>704</v>
      </c>
      <c r="AU40">
        <v>2001</v>
      </c>
      <c r="AV40">
        <v>414</v>
      </c>
      <c r="AW40">
        <v>6860</v>
      </c>
      <c r="AX40" t="s">
        <v>74</v>
      </c>
      <c r="AY40" t="s">
        <v>74</v>
      </c>
      <c r="AZ40" t="s">
        <v>74</v>
      </c>
      <c r="BA40" t="s">
        <v>74</v>
      </c>
      <c r="BB40">
        <v>150</v>
      </c>
      <c r="BC40">
        <v>151</v>
      </c>
      <c r="BD40" t="s">
        <v>74</v>
      </c>
      <c r="BE40" t="s">
        <v>705</v>
      </c>
      <c r="BF40" t="str">
        <f>HYPERLINK("http://dx.doi.org/10.1038/35102634","http://dx.doi.org/10.1038/35102634")</f>
        <v>http://dx.doi.org/10.1038/35102634</v>
      </c>
      <c r="BG40" t="s">
        <v>74</v>
      </c>
      <c r="BH40" t="s">
        <v>74</v>
      </c>
      <c r="BI40">
        <v>2</v>
      </c>
      <c r="BJ40" t="s">
        <v>575</v>
      </c>
      <c r="BK40" t="s">
        <v>88</v>
      </c>
      <c r="BL40" t="s">
        <v>576</v>
      </c>
      <c r="BM40" t="s">
        <v>706</v>
      </c>
      <c r="BN40" t="s">
        <v>74</v>
      </c>
      <c r="BO40" t="s">
        <v>74</v>
      </c>
      <c r="BP40" t="s">
        <v>74</v>
      </c>
      <c r="BQ40" t="s">
        <v>74</v>
      </c>
      <c r="BR40" t="s">
        <v>91</v>
      </c>
      <c r="BS40" t="s">
        <v>707</v>
      </c>
      <c r="BT40" t="str">
        <f>HYPERLINK("https%3A%2F%2Fwww.webofscience.com%2Fwos%2Fwoscc%2Ffull-record%2FWOS:000172029100023","View Full Record in Web of Science")</f>
        <v>View Full Record in Web of Science</v>
      </c>
    </row>
    <row r="41" spans="1:72" x14ac:dyDescent="0.15">
      <c r="A41" t="s">
        <v>72</v>
      </c>
      <c r="B41" t="s">
        <v>708</v>
      </c>
      <c r="C41" t="s">
        <v>74</v>
      </c>
      <c r="D41" t="s">
        <v>74</v>
      </c>
      <c r="E41" t="s">
        <v>74</v>
      </c>
      <c r="F41" t="s">
        <v>708</v>
      </c>
      <c r="G41" t="s">
        <v>74</v>
      </c>
      <c r="H41" t="s">
        <v>74</v>
      </c>
      <c r="I41" t="s">
        <v>709</v>
      </c>
      <c r="J41" t="s">
        <v>710</v>
      </c>
      <c r="K41" t="s">
        <v>74</v>
      </c>
      <c r="L41" t="s">
        <v>74</v>
      </c>
      <c r="M41" t="s">
        <v>77</v>
      </c>
      <c r="N41" t="s">
        <v>120</v>
      </c>
      <c r="O41" t="s">
        <v>74</v>
      </c>
      <c r="P41" t="s">
        <v>74</v>
      </c>
      <c r="Q41" t="s">
        <v>74</v>
      </c>
      <c r="R41" t="s">
        <v>74</v>
      </c>
      <c r="S41" t="s">
        <v>74</v>
      </c>
      <c r="T41" t="s">
        <v>711</v>
      </c>
      <c r="U41" t="s">
        <v>712</v>
      </c>
      <c r="V41" t="s">
        <v>713</v>
      </c>
      <c r="W41" t="s">
        <v>658</v>
      </c>
      <c r="X41" t="s">
        <v>617</v>
      </c>
      <c r="Y41" t="s">
        <v>714</v>
      </c>
      <c r="Z41" t="s">
        <v>74</v>
      </c>
      <c r="AA41" t="s">
        <v>74</v>
      </c>
      <c r="AB41" t="s">
        <v>74</v>
      </c>
      <c r="AC41" t="s">
        <v>74</v>
      </c>
      <c r="AD41" t="s">
        <v>74</v>
      </c>
      <c r="AE41" t="s">
        <v>74</v>
      </c>
      <c r="AF41" t="s">
        <v>74</v>
      </c>
      <c r="AG41">
        <v>27</v>
      </c>
      <c r="AH41">
        <v>30</v>
      </c>
      <c r="AI41">
        <v>30</v>
      </c>
      <c r="AJ41">
        <v>0</v>
      </c>
      <c r="AK41">
        <v>22</v>
      </c>
      <c r="AL41" t="s">
        <v>149</v>
      </c>
      <c r="AM41" t="s">
        <v>150</v>
      </c>
      <c r="AN41" t="s">
        <v>151</v>
      </c>
      <c r="AO41" t="s">
        <v>715</v>
      </c>
      <c r="AP41" t="s">
        <v>74</v>
      </c>
      <c r="AQ41" t="s">
        <v>74</v>
      </c>
      <c r="AR41" t="s">
        <v>716</v>
      </c>
      <c r="AS41" t="s">
        <v>717</v>
      </c>
      <c r="AT41" t="s">
        <v>718</v>
      </c>
      <c r="AU41">
        <v>2001</v>
      </c>
      <c r="AV41">
        <v>2</v>
      </c>
      <c r="AW41" t="s">
        <v>74</v>
      </c>
      <c r="AX41" t="s">
        <v>74</v>
      </c>
      <c r="AY41" t="s">
        <v>74</v>
      </c>
      <c r="AZ41" t="s">
        <v>74</v>
      </c>
      <c r="BA41" t="s">
        <v>74</v>
      </c>
      <c r="BB41" t="s">
        <v>719</v>
      </c>
      <c r="BC41" t="s">
        <v>720</v>
      </c>
      <c r="BD41" t="s">
        <v>74</v>
      </c>
      <c r="BE41" t="s">
        <v>74</v>
      </c>
      <c r="BF41" t="s">
        <v>74</v>
      </c>
      <c r="BG41" t="s">
        <v>74</v>
      </c>
      <c r="BH41" t="s">
        <v>74</v>
      </c>
      <c r="BI41">
        <v>15</v>
      </c>
      <c r="BJ41" t="s">
        <v>388</v>
      </c>
      <c r="BK41" t="s">
        <v>88</v>
      </c>
      <c r="BL41" t="s">
        <v>388</v>
      </c>
      <c r="BM41" t="s">
        <v>721</v>
      </c>
      <c r="BN41" t="s">
        <v>74</v>
      </c>
      <c r="BO41" t="s">
        <v>74</v>
      </c>
      <c r="BP41" t="s">
        <v>74</v>
      </c>
      <c r="BQ41" t="s">
        <v>74</v>
      </c>
      <c r="BR41" t="s">
        <v>91</v>
      </c>
      <c r="BS41" t="s">
        <v>722</v>
      </c>
      <c r="BT41" t="str">
        <f>HYPERLINK("https%3A%2F%2Fwww.webofscience.com%2Fwos%2Fwoscc%2Ffull-record%2FWOS:000171948700001","View Full Record in Web of Science")</f>
        <v>View Full Record in Web of Science</v>
      </c>
    </row>
    <row r="42" spans="1:72" x14ac:dyDescent="0.15">
      <c r="A42" t="s">
        <v>72</v>
      </c>
      <c r="B42" t="s">
        <v>723</v>
      </c>
      <c r="C42" t="s">
        <v>74</v>
      </c>
      <c r="D42" t="s">
        <v>74</v>
      </c>
      <c r="E42" t="s">
        <v>74</v>
      </c>
      <c r="F42" t="s">
        <v>723</v>
      </c>
      <c r="G42" t="s">
        <v>74</v>
      </c>
      <c r="H42" t="s">
        <v>74</v>
      </c>
      <c r="I42" t="s">
        <v>724</v>
      </c>
      <c r="J42" t="s">
        <v>725</v>
      </c>
      <c r="K42" t="s">
        <v>74</v>
      </c>
      <c r="L42" t="s">
        <v>74</v>
      </c>
      <c r="M42" t="s">
        <v>77</v>
      </c>
      <c r="N42" t="s">
        <v>120</v>
      </c>
      <c r="O42" t="s">
        <v>74</v>
      </c>
      <c r="P42" t="s">
        <v>74</v>
      </c>
      <c r="Q42" t="s">
        <v>74</v>
      </c>
      <c r="R42" t="s">
        <v>74</v>
      </c>
      <c r="S42" t="s">
        <v>74</v>
      </c>
      <c r="T42" t="s">
        <v>74</v>
      </c>
      <c r="U42" t="s">
        <v>726</v>
      </c>
      <c r="V42" t="s">
        <v>727</v>
      </c>
      <c r="W42" t="s">
        <v>728</v>
      </c>
      <c r="X42" t="s">
        <v>729</v>
      </c>
      <c r="Y42" t="s">
        <v>730</v>
      </c>
      <c r="Z42" t="s">
        <v>74</v>
      </c>
      <c r="AA42" t="s">
        <v>74</v>
      </c>
      <c r="AB42" t="s">
        <v>74</v>
      </c>
      <c r="AC42" t="s">
        <v>74</v>
      </c>
      <c r="AD42" t="s">
        <v>74</v>
      </c>
      <c r="AE42" t="s">
        <v>74</v>
      </c>
      <c r="AF42" t="s">
        <v>74</v>
      </c>
      <c r="AG42">
        <v>18</v>
      </c>
      <c r="AH42">
        <v>7</v>
      </c>
      <c r="AI42">
        <v>8</v>
      </c>
      <c r="AJ42">
        <v>1</v>
      </c>
      <c r="AK42">
        <v>7</v>
      </c>
      <c r="AL42" t="s">
        <v>731</v>
      </c>
      <c r="AM42" t="s">
        <v>732</v>
      </c>
      <c r="AN42" t="s">
        <v>733</v>
      </c>
      <c r="AO42" t="s">
        <v>734</v>
      </c>
      <c r="AP42" t="s">
        <v>74</v>
      </c>
      <c r="AQ42" t="s">
        <v>74</v>
      </c>
      <c r="AR42" t="s">
        <v>735</v>
      </c>
      <c r="AS42" t="s">
        <v>736</v>
      </c>
      <c r="AT42" t="s">
        <v>737</v>
      </c>
      <c r="AU42">
        <v>2001</v>
      </c>
      <c r="AV42">
        <v>57</v>
      </c>
      <c r="AW42" t="s">
        <v>74</v>
      </c>
      <c r="AX42">
        <v>11</v>
      </c>
      <c r="AY42" t="s">
        <v>74</v>
      </c>
      <c r="AZ42" t="s">
        <v>74</v>
      </c>
      <c r="BA42" t="s">
        <v>74</v>
      </c>
      <c r="BB42">
        <v>1666</v>
      </c>
      <c r="BC42">
        <v>1668</v>
      </c>
      <c r="BD42" t="s">
        <v>74</v>
      </c>
      <c r="BE42" t="s">
        <v>738</v>
      </c>
      <c r="BF42" t="str">
        <f>HYPERLINK("http://dx.doi.org/10.1107/S0907444901012069","http://dx.doi.org/10.1107/S0907444901012069")</f>
        <v>http://dx.doi.org/10.1107/S0907444901012069</v>
      </c>
      <c r="BG42" t="s">
        <v>74</v>
      </c>
      <c r="BH42" t="s">
        <v>74</v>
      </c>
      <c r="BI42">
        <v>3</v>
      </c>
      <c r="BJ42" t="s">
        <v>739</v>
      </c>
      <c r="BK42" t="s">
        <v>88</v>
      </c>
      <c r="BL42" t="s">
        <v>740</v>
      </c>
      <c r="BM42" t="s">
        <v>741</v>
      </c>
      <c r="BN42">
        <v>11679738</v>
      </c>
      <c r="BO42" t="s">
        <v>74</v>
      </c>
      <c r="BP42" t="s">
        <v>74</v>
      </c>
      <c r="BQ42" t="s">
        <v>74</v>
      </c>
      <c r="BR42" t="s">
        <v>91</v>
      </c>
      <c r="BS42" t="s">
        <v>742</v>
      </c>
      <c r="BT42" t="str">
        <f>HYPERLINK("https%3A%2F%2Fwww.webofscience.com%2Fwos%2Fwoscc%2Ffull-record%2FWOS:000171778400028","View Full Record in Web of Science")</f>
        <v>View Full Record in Web of Science</v>
      </c>
    </row>
    <row r="43" spans="1:72" x14ac:dyDescent="0.15">
      <c r="A43" t="s">
        <v>72</v>
      </c>
      <c r="B43" t="s">
        <v>743</v>
      </c>
      <c r="C43" t="s">
        <v>74</v>
      </c>
      <c r="D43" t="s">
        <v>74</v>
      </c>
      <c r="E43" t="s">
        <v>74</v>
      </c>
      <c r="F43" t="s">
        <v>743</v>
      </c>
      <c r="G43" t="s">
        <v>74</v>
      </c>
      <c r="H43" t="s">
        <v>74</v>
      </c>
      <c r="I43" t="s">
        <v>744</v>
      </c>
      <c r="J43" t="s">
        <v>745</v>
      </c>
      <c r="K43" t="s">
        <v>74</v>
      </c>
      <c r="L43" t="s">
        <v>74</v>
      </c>
      <c r="M43" t="s">
        <v>77</v>
      </c>
      <c r="N43" t="s">
        <v>120</v>
      </c>
      <c r="O43" t="s">
        <v>74</v>
      </c>
      <c r="P43" t="s">
        <v>74</v>
      </c>
      <c r="Q43" t="s">
        <v>74</v>
      </c>
      <c r="R43" t="s">
        <v>74</v>
      </c>
      <c r="S43" t="s">
        <v>74</v>
      </c>
      <c r="T43" t="s">
        <v>74</v>
      </c>
      <c r="U43" t="s">
        <v>746</v>
      </c>
      <c r="V43" t="s">
        <v>747</v>
      </c>
      <c r="W43" t="s">
        <v>748</v>
      </c>
      <c r="X43" t="s">
        <v>749</v>
      </c>
      <c r="Y43" t="s">
        <v>750</v>
      </c>
      <c r="Z43" t="s">
        <v>74</v>
      </c>
      <c r="AA43" t="s">
        <v>751</v>
      </c>
      <c r="AB43" t="s">
        <v>752</v>
      </c>
      <c r="AC43" t="s">
        <v>74</v>
      </c>
      <c r="AD43" t="s">
        <v>74</v>
      </c>
      <c r="AE43" t="s">
        <v>74</v>
      </c>
      <c r="AF43" t="s">
        <v>74</v>
      </c>
      <c r="AG43">
        <v>78</v>
      </c>
      <c r="AH43">
        <v>63</v>
      </c>
      <c r="AI43">
        <v>71</v>
      </c>
      <c r="AJ43">
        <v>1</v>
      </c>
      <c r="AK43">
        <v>10</v>
      </c>
      <c r="AL43" t="s">
        <v>753</v>
      </c>
      <c r="AM43" t="s">
        <v>150</v>
      </c>
      <c r="AN43" t="s">
        <v>754</v>
      </c>
      <c r="AO43" t="s">
        <v>755</v>
      </c>
      <c r="AP43" t="s">
        <v>74</v>
      </c>
      <c r="AQ43" t="s">
        <v>74</v>
      </c>
      <c r="AR43" t="s">
        <v>756</v>
      </c>
      <c r="AS43" t="s">
        <v>757</v>
      </c>
      <c r="AT43" t="s">
        <v>737</v>
      </c>
      <c r="AU43">
        <v>2001</v>
      </c>
      <c r="AV43">
        <v>67</v>
      </c>
      <c r="AW43">
        <v>11</v>
      </c>
      <c r="AX43" t="s">
        <v>74</v>
      </c>
      <c r="AY43" t="s">
        <v>74</v>
      </c>
      <c r="AZ43" t="s">
        <v>74</v>
      </c>
      <c r="BA43" t="s">
        <v>74</v>
      </c>
      <c r="BB43">
        <v>4945</v>
      </c>
      <c r="BC43">
        <v>4954</v>
      </c>
      <c r="BD43" t="s">
        <v>74</v>
      </c>
      <c r="BE43" t="s">
        <v>758</v>
      </c>
      <c r="BF43" t="str">
        <f>HYPERLINK("http://dx.doi.org/10.1128/AEM.67.11.4945-4954.2001","http://dx.doi.org/10.1128/AEM.67.11.4945-4954.2001")</f>
        <v>http://dx.doi.org/10.1128/AEM.67.11.4945-4954.2001</v>
      </c>
      <c r="BG43" t="s">
        <v>74</v>
      </c>
      <c r="BH43" t="s">
        <v>74</v>
      </c>
      <c r="BI43">
        <v>10</v>
      </c>
      <c r="BJ43" t="s">
        <v>759</v>
      </c>
      <c r="BK43" t="s">
        <v>88</v>
      </c>
      <c r="BL43" t="s">
        <v>759</v>
      </c>
      <c r="BM43" t="s">
        <v>760</v>
      </c>
      <c r="BN43">
        <v>11679312</v>
      </c>
      <c r="BO43" t="s">
        <v>761</v>
      </c>
      <c r="BP43" t="s">
        <v>74</v>
      </c>
      <c r="BQ43" t="s">
        <v>74</v>
      </c>
      <c r="BR43" t="s">
        <v>91</v>
      </c>
      <c r="BS43" t="s">
        <v>762</v>
      </c>
      <c r="BT43" t="str">
        <f>HYPERLINK("https%3A%2F%2Fwww.webofscience.com%2Fwos%2Fwoscc%2Ffull-record%2FWOS:000171914100001","View Full Record in Web of Science")</f>
        <v>View Full Record in Web of Science</v>
      </c>
    </row>
    <row r="44" spans="1:72" x14ac:dyDescent="0.15">
      <c r="A44" t="s">
        <v>72</v>
      </c>
      <c r="B44" t="s">
        <v>763</v>
      </c>
      <c r="C44" t="s">
        <v>74</v>
      </c>
      <c r="D44" t="s">
        <v>74</v>
      </c>
      <c r="E44" t="s">
        <v>74</v>
      </c>
      <c r="F44" t="s">
        <v>763</v>
      </c>
      <c r="G44" t="s">
        <v>74</v>
      </c>
      <c r="H44" t="s">
        <v>74</v>
      </c>
      <c r="I44" t="s">
        <v>764</v>
      </c>
      <c r="J44" t="s">
        <v>765</v>
      </c>
      <c r="K44" t="s">
        <v>74</v>
      </c>
      <c r="L44" t="s">
        <v>74</v>
      </c>
      <c r="M44" t="s">
        <v>77</v>
      </c>
      <c r="N44" t="s">
        <v>120</v>
      </c>
      <c r="O44" t="s">
        <v>74</v>
      </c>
      <c r="P44" t="s">
        <v>74</v>
      </c>
      <c r="Q44" t="s">
        <v>74</v>
      </c>
      <c r="R44" t="s">
        <v>74</v>
      </c>
      <c r="S44" t="s">
        <v>74</v>
      </c>
      <c r="T44" t="s">
        <v>766</v>
      </c>
      <c r="U44" t="s">
        <v>767</v>
      </c>
      <c r="V44" t="s">
        <v>768</v>
      </c>
      <c r="W44" t="s">
        <v>769</v>
      </c>
      <c r="X44" t="s">
        <v>770</v>
      </c>
      <c r="Y44" t="s">
        <v>644</v>
      </c>
      <c r="Z44" t="s">
        <v>771</v>
      </c>
      <c r="AA44" t="s">
        <v>772</v>
      </c>
      <c r="AB44" t="s">
        <v>74</v>
      </c>
      <c r="AC44" t="s">
        <v>74</v>
      </c>
      <c r="AD44" t="s">
        <v>74</v>
      </c>
      <c r="AE44" t="s">
        <v>74</v>
      </c>
      <c r="AF44" t="s">
        <v>74</v>
      </c>
      <c r="AG44">
        <v>45</v>
      </c>
      <c r="AH44">
        <v>17</v>
      </c>
      <c r="AI44">
        <v>17</v>
      </c>
      <c r="AJ44">
        <v>0</v>
      </c>
      <c r="AK44">
        <v>19</v>
      </c>
      <c r="AL44" t="s">
        <v>773</v>
      </c>
      <c r="AM44" t="s">
        <v>774</v>
      </c>
      <c r="AN44" t="s">
        <v>775</v>
      </c>
      <c r="AO44" t="s">
        <v>776</v>
      </c>
      <c r="AP44" t="s">
        <v>74</v>
      </c>
      <c r="AQ44" t="s">
        <v>74</v>
      </c>
      <c r="AR44" t="s">
        <v>777</v>
      </c>
      <c r="AS44" t="s">
        <v>778</v>
      </c>
      <c r="AT44" t="s">
        <v>737</v>
      </c>
      <c r="AU44">
        <v>2001</v>
      </c>
      <c r="AV44">
        <v>152</v>
      </c>
      <c r="AW44">
        <v>4</v>
      </c>
      <c r="AX44" t="s">
        <v>74</v>
      </c>
      <c r="AY44" t="s">
        <v>74</v>
      </c>
      <c r="AZ44" t="s">
        <v>74</v>
      </c>
      <c r="BA44" t="s">
        <v>74</v>
      </c>
      <c r="BB44">
        <v>609</v>
      </c>
      <c r="BC44">
        <v>632</v>
      </c>
      <c r="BD44" t="s">
        <v>74</v>
      </c>
      <c r="BE44" t="s">
        <v>74</v>
      </c>
      <c r="BF44" t="s">
        <v>74</v>
      </c>
      <c r="BG44" t="s">
        <v>74</v>
      </c>
      <c r="BH44" t="s">
        <v>74</v>
      </c>
      <c r="BI44">
        <v>24</v>
      </c>
      <c r="BJ44" t="s">
        <v>779</v>
      </c>
      <c r="BK44" t="s">
        <v>88</v>
      </c>
      <c r="BL44" t="s">
        <v>323</v>
      </c>
      <c r="BM44" t="s">
        <v>780</v>
      </c>
      <c r="BN44" t="s">
        <v>74</v>
      </c>
      <c r="BO44" t="s">
        <v>74</v>
      </c>
      <c r="BP44" t="s">
        <v>74</v>
      </c>
      <c r="BQ44" t="s">
        <v>74</v>
      </c>
      <c r="BR44" t="s">
        <v>91</v>
      </c>
      <c r="BS44" t="s">
        <v>781</v>
      </c>
      <c r="BT44" t="str">
        <f>HYPERLINK("https%3A%2F%2Fwww.webofscience.com%2Fwos%2Fwoscc%2Ffull-record%2FWOS:000173205500005","View Full Record in Web of Science")</f>
        <v>View Full Record in Web of Science</v>
      </c>
    </row>
    <row r="45" spans="1:72" x14ac:dyDescent="0.15">
      <c r="A45" t="s">
        <v>72</v>
      </c>
      <c r="B45" t="s">
        <v>782</v>
      </c>
      <c r="C45" t="s">
        <v>74</v>
      </c>
      <c r="D45" t="s">
        <v>74</v>
      </c>
      <c r="E45" t="s">
        <v>74</v>
      </c>
      <c r="F45" t="s">
        <v>782</v>
      </c>
      <c r="G45" t="s">
        <v>74</v>
      </c>
      <c r="H45" t="s">
        <v>74</v>
      </c>
      <c r="I45" t="s">
        <v>783</v>
      </c>
      <c r="J45" t="s">
        <v>784</v>
      </c>
      <c r="K45" t="s">
        <v>74</v>
      </c>
      <c r="L45" t="s">
        <v>74</v>
      </c>
      <c r="M45" t="s">
        <v>77</v>
      </c>
      <c r="N45" t="s">
        <v>414</v>
      </c>
      <c r="O45" t="s">
        <v>74</v>
      </c>
      <c r="P45" t="s">
        <v>74</v>
      </c>
      <c r="Q45" t="s">
        <v>74</v>
      </c>
      <c r="R45" t="s">
        <v>74</v>
      </c>
      <c r="S45" t="s">
        <v>74</v>
      </c>
      <c r="T45" t="s">
        <v>74</v>
      </c>
      <c r="U45" t="s">
        <v>74</v>
      </c>
      <c r="V45" t="s">
        <v>74</v>
      </c>
      <c r="W45" t="s">
        <v>785</v>
      </c>
      <c r="X45" t="s">
        <v>786</v>
      </c>
      <c r="Y45" t="s">
        <v>787</v>
      </c>
      <c r="Z45" t="s">
        <v>788</v>
      </c>
      <c r="AA45" t="s">
        <v>789</v>
      </c>
      <c r="AB45" t="s">
        <v>790</v>
      </c>
      <c r="AC45" t="s">
        <v>74</v>
      </c>
      <c r="AD45" t="s">
        <v>74</v>
      </c>
      <c r="AE45" t="s">
        <v>74</v>
      </c>
      <c r="AF45" t="s">
        <v>74</v>
      </c>
      <c r="AG45">
        <v>0</v>
      </c>
      <c r="AH45">
        <v>7</v>
      </c>
      <c r="AI45">
        <v>7</v>
      </c>
      <c r="AJ45">
        <v>0</v>
      </c>
      <c r="AK45">
        <v>7</v>
      </c>
      <c r="AL45" t="s">
        <v>791</v>
      </c>
      <c r="AM45" t="s">
        <v>792</v>
      </c>
      <c r="AN45" t="s">
        <v>793</v>
      </c>
      <c r="AO45" t="s">
        <v>794</v>
      </c>
      <c r="AP45" t="s">
        <v>74</v>
      </c>
      <c r="AQ45" t="s">
        <v>74</v>
      </c>
      <c r="AR45" t="s">
        <v>795</v>
      </c>
      <c r="AS45" t="s">
        <v>796</v>
      </c>
      <c r="AT45" t="s">
        <v>737</v>
      </c>
      <c r="AU45">
        <v>2001</v>
      </c>
      <c r="AV45">
        <v>33</v>
      </c>
      <c r="AW45">
        <v>4</v>
      </c>
      <c r="AX45" t="s">
        <v>74</v>
      </c>
      <c r="AY45" t="s">
        <v>74</v>
      </c>
      <c r="AZ45" t="s">
        <v>74</v>
      </c>
      <c r="BA45" t="s">
        <v>74</v>
      </c>
      <c r="BB45">
        <v>383</v>
      </c>
      <c r="BC45">
        <v>384</v>
      </c>
      <c r="BD45" t="s">
        <v>74</v>
      </c>
      <c r="BE45" t="s">
        <v>797</v>
      </c>
      <c r="BF45" t="str">
        <f>HYPERLINK("http://dx.doi.org/10.1080/15230430.2001.12003444","http://dx.doi.org/10.1080/15230430.2001.12003444")</f>
        <v>http://dx.doi.org/10.1080/15230430.2001.12003444</v>
      </c>
      <c r="BG45" t="s">
        <v>74</v>
      </c>
      <c r="BH45" t="s">
        <v>74</v>
      </c>
      <c r="BI45">
        <v>2</v>
      </c>
      <c r="BJ45" t="s">
        <v>798</v>
      </c>
      <c r="BK45" t="s">
        <v>88</v>
      </c>
      <c r="BL45" t="s">
        <v>799</v>
      </c>
      <c r="BM45" t="s">
        <v>800</v>
      </c>
      <c r="BN45" t="s">
        <v>74</v>
      </c>
      <c r="BO45" t="s">
        <v>171</v>
      </c>
      <c r="BP45" t="s">
        <v>74</v>
      </c>
      <c r="BQ45" t="s">
        <v>74</v>
      </c>
      <c r="BR45" t="s">
        <v>91</v>
      </c>
      <c r="BS45" t="s">
        <v>801</v>
      </c>
      <c r="BT45" t="str">
        <f>HYPERLINK("https%3A%2F%2Fwww.webofscience.com%2Fwos%2Fwoscc%2Ffull-record%2FWOS:000172713800001","View Full Record in Web of Science")</f>
        <v>View Full Record in Web of Science</v>
      </c>
    </row>
    <row r="46" spans="1:72" x14ac:dyDescent="0.15">
      <c r="A46" t="s">
        <v>72</v>
      </c>
      <c r="B46" t="s">
        <v>802</v>
      </c>
      <c r="C46" t="s">
        <v>74</v>
      </c>
      <c r="D46" t="s">
        <v>74</v>
      </c>
      <c r="E46" t="s">
        <v>74</v>
      </c>
      <c r="F46" t="s">
        <v>802</v>
      </c>
      <c r="G46" t="s">
        <v>74</v>
      </c>
      <c r="H46" t="s">
        <v>74</v>
      </c>
      <c r="I46" t="s">
        <v>803</v>
      </c>
      <c r="J46" t="s">
        <v>784</v>
      </c>
      <c r="K46" t="s">
        <v>74</v>
      </c>
      <c r="L46" t="s">
        <v>74</v>
      </c>
      <c r="M46" t="s">
        <v>77</v>
      </c>
      <c r="N46" t="s">
        <v>435</v>
      </c>
      <c r="O46" t="s">
        <v>804</v>
      </c>
      <c r="P46" t="s">
        <v>805</v>
      </c>
      <c r="Q46" t="s">
        <v>806</v>
      </c>
      <c r="R46" t="s">
        <v>74</v>
      </c>
      <c r="S46" t="s">
        <v>74</v>
      </c>
      <c r="T46" t="s">
        <v>74</v>
      </c>
      <c r="U46" t="s">
        <v>807</v>
      </c>
      <c r="V46" t="s">
        <v>808</v>
      </c>
      <c r="W46" t="s">
        <v>809</v>
      </c>
      <c r="X46" t="s">
        <v>810</v>
      </c>
      <c r="Y46" t="s">
        <v>74</v>
      </c>
      <c r="Z46" t="s">
        <v>811</v>
      </c>
      <c r="AA46" t="s">
        <v>812</v>
      </c>
      <c r="AB46" t="s">
        <v>813</v>
      </c>
      <c r="AC46" t="s">
        <v>74</v>
      </c>
      <c r="AD46" t="s">
        <v>74</v>
      </c>
      <c r="AE46" t="s">
        <v>74</v>
      </c>
      <c r="AF46" t="s">
        <v>74</v>
      </c>
      <c r="AG46">
        <v>25</v>
      </c>
      <c r="AH46">
        <v>59</v>
      </c>
      <c r="AI46">
        <v>66</v>
      </c>
      <c r="AJ46">
        <v>1</v>
      </c>
      <c r="AK46">
        <v>17</v>
      </c>
      <c r="AL46" t="s">
        <v>104</v>
      </c>
      <c r="AM46" t="s">
        <v>105</v>
      </c>
      <c r="AN46" t="s">
        <v>106</v>
      </c>
      <c r="AO46" t="s">
        <v>794</v>
      </c>
      <c r="AP46" t="s">
        <v>814</v>
      </c>
      <c r="AQ46" t="s">
        <v>74</v>
      </c>
      <c r="AR46" t="s">
        <v>795</v>
      </c>
      <c r="AS46" t="s">
        <v>796</v>
      </c>
      <c r="AT46" t="s">
        <v>737</v>
      </c>
      <c r="AU46">
        <v>2001</v>
      </c>
      <c r="AV46">
        <v>33</v>
      </c>
      <c r="AW46">
        <v>4</v>
      </c>
      <c r="AX46" t="s">
        <v>74</v>
      </c>
      <c r="AY46" t="s">
        <v>74</v>
      </c>
      <c r="AZ46" t="s">
        <v>74</v>
      </c>
      <c r="BA46" t="s">
        <v>74</v>
      </c>
      <c r="BB46">
        <v>385</v>
      </c>
      <c r="BC46">
        <v>390</v>
      </c>
      <c r="BD46" t="s">
        <v>74</v>
      </c>
      <c r="BE46" t="s">
        <v>815</v>
      </c>
      <c r="BF46" t="str">
        <f>HYPERLINK("http://dx.doi.org/10.2307/1552546","http://dx.doi.org/10.2307/1552546")</f>
        <v>http://dx.doi.org/10.2307/1552546</v>
      </c>
      <c r="BG46" t="s">
        <v>74</v>
      </c>
      <c r="BH46" t="s">
        <v>74</v>
      </c>
      <c r="BI46">
        <v>6</v>
      </c>
      <c r="BJ46" t="s">
        <v>798</v>
      </c>
      <c r="BK46" t="s">
        <v>816</v>
      </c>
      <c r="BL46" t="s">
        <v>799</v>
      </c>
      <c r="BM46" t="s">
        <v>800</v>
      </c>
      <c r="BN46" t="s">
        <v>74</v>
      </c>
      <c r="BO46" t="s">
        <v>171</v>
      </c>
      <c r="BP46" t="s">
        <v>74</v>
      </c>
      <c r="BQ46" t="s">
        <v>74</v>
      </c>
      <c r="BR46" t="s">
        <v>91</v>
      </c>
      <c r="BS46" t="s">
        <v>817</v>
      </c>
      <c r="BT46" t="str">
        <f>HYPERLINK("https%3A%2F%2Fwww.webofscience.com%2Fwos%2Fwoscc%2Ffull-record%2FWOS:000172713800002","View Full Record in Web of Science")</f>
        <v>View Full Record in Web of Science</v>
      </c>
    </row>
    <row r="47" spans="1:72" x14ac:dyDescent="0.15">
      <c r="A47" t="s">
        <v>72</v>
      </c>
      <c r="B47" t="s">
        <v>818</v>
      </c>
      <c r="C47" t="s">
        <v>74</v>
      </c>
      <c r="D47" t="s">
        <v>74</v>
      </c>
      <c r="E47" t="s">
        <v>74</v>
      </c>
      <c r="F47" t="s">
        <v>818</v>
      </c>
      <c r="G47" t="s">
        <v>74</v>
      </c>
      <c r="H47" t="s">
        <v>74</v>
      </c>
      <c r="I47" t="s">
        <v>819</v>
      </c>
      <c r="J47" t="s">
        <v>784</v>
      </c>
      <c r="K47" t="s">
        <v>74</v>
      </c>
      <c r="L47" t="s">
        <v>74</v>
      </c>
      <c r="M47" t="s">
        <v>77</v>
      </c>
      <c r="N47" t="s">
        <v>435</v>
      </c>
      <c r="O47" t="s">
        <v>804</v>
      </c>
      <c r="P47" t="s">
        <v>805</v>
      </c>
      <c r="Q47" t="s">
        <v>806</v>
      </c>
      <c r="R47" t="s">
        <v>74</v>
      </c>
      <c r="S47" t="s">
        <v>74</v>
      </c>
      <c r="T47" t="s">
        <v>74</v>
      </c>
      <c r="U47" t="s">
        <v>820</v>
      </c>
      <c r="V47" t="s">
        <v>821</v>
      </c>
      <c r="W47" t="s">
        <v>822</v>
      </c>
      <c r="X47" t="s">
        <v>823</v>
      </c>
      <c r="Y47" t="s">
        <v>824</v>
      </c>
      <c r="Z47" t="s">
        <v>74</v>
      </c>
      <c r="AA47" t="s">
        <v>74</v>
      </c>
      <c r="AB47" t="s">
        <v>74</v>
      </c>
      <c r="AC47" t="s">
        <v>74</v>
      </c>
      <c r="AD47" t="s">
        <v>74</v>
      </c>
      <c r="AE47" t="s">
        <v>74</v>
      </c>
      <c r="AF47" t="s">
        <v>74</v>
      </c>
      <c r="AG47">
        <v>16</v>
      </c>
      <c r="AH47">
        <v>11</v>
      </c>
      <c r="AI47">
        <v>13</v>
      </c>
      <c r="AJ47">
        <v>1</v>
      </c>
      <c r="AK47">
        <v>7</v>
      </c>
      <c r="AL47" t="s">
        <v>791</v>
      </c>
      <c r="AM47" t="s">
        <v>792</v>
      </c>
      <c r="AN47" t="s">
        <v>793</v>
      </c>
      <c r="AO47" t="s">
        <v>794</v>
      </c>
      <c r="AP47" t="s">
        <v>74</v>
      </c>
      <c r="AQ47" t="s">
        <v>74</v>
      </c>
      <c r="AR47" t="s">
        <v>795</v>
      </c>
      <c r="AS47" t="s">
        <v>796</v>
      </c>
      <c r="AT47" t="s">
        <v>737</v>
      </c>
      <c r="AU47">
        <v>2001</v>
      </c>
      <c r="AV47">
        <v>33</v>
      </c>
      <c r="AW47">
        <v>4</v>
      </c>
      <c r="AX47" t="s">
        <v>74</v>
      </c>
      <c r="AY47" t="s">
        <v>74</v>
      </c>
      <c r="AZ47" t="s">
        <v>74</v>
      </c>
      <c r="BA47" t="s">
        <v>74</v>
      </c>
      <c r="BB47">
        <v>391</v>
      </c>
      <c r="BC47">
        <v>396</v>
      </c>
      <c r="BD47" t="s">
        <v>74</v>
      </c>
      <c r="BE47" t="s">
        <v>825</v>
      </c>
      <c r="BF47" t="str">
        <f>HYPERLINK("http://dx.doi.org/10.2307/1552547","http://dx.doi.org/10.2307/1552547")</f>
        <v>http://dx.doi.org/10.2307/1552547</v>
      </c>
      <c r="BG47" t="s">
        <v>74</v>
      </c>
      <c r="BH47" t="s">
        <v>74</v>
      </c>
      <c r="BI47">
        <v>6</v>
      </c>
      <c r="BJ47" t="s">
        <v>798</v>
      </c>
      <c r="BK47" t="s">
        <v>453</v>
      </c>
      <c r="BL47" t="s">
        <v>799</v>
      </c>
      <c r="BM47" t="s">
        <v>800</v>
      </c>
      <c r="BN47" t="s">
        <v>74</v>
      </c>
      <c r="BO47" t="s">
        <v>74</v>
      </c>
      <c r="BP47" t="s">
        <v>74</v>
      </c>
      <c r="BQ47" t="s">
        <v>74</v>
      </c>
      <c r="BR47" t="s">
        <v>91</v>
      </c>
      <c r="BS47" t="s">
        <v>826</v>
      </c>
      <c r="BT47" t="str">
        <f>HYPERLINK("https%3A%2F%2Fwww.webofscience.com%2Fwos%2Fwoscc%2Ffull-record%2FWOS:000172713800003","View Full Record in Web of Science")</f>
        <v>View Full Record in Web of Science</v>
      </c>
    </row>
    <row r="48" spans="1:72" x14ac:dyDescent="0.15">
      <c r="A48" t="s">
        <v>72</v>
      </c>
      <c r="B48" t="s">
        <v>827</v>
      </c>
      <c r="C48" t="s">
        <v>74</v>
      </c>
      <c r="D48" t="s">
        <v>74</v>
      </c>
      <c r="E48" t="s">
        <v>74</v>
      </c>
      <c r="F48" t="s">
        <v>827</v>
      </c>
      <c r="G48" t="s">
        <v>74</v>
      </c>
      <c r="H48" t="s">
        <v>74</v>
      </c>
      <c r="I48" t="s">
        <v>828</v>
      </c>
      <c r="J48" t="s">
        <v>784</v>
      </c>
      <c r="K48" t="s">
        <v>74</v>
      </c>
      <c r="L48" t="s">
        <v>74</v>
      </c>
      <c r="M48" t="s">
        <v>77</v>
      </c>
      <c r="N48" t="s">
        <v>435</v>
      </c>
      <c r="O48" t="s">
        <v>804</v>
      </c>
      <c r="P48" t="s">
        <v>805</v>
      </c>
      <c r="Q48" t="s">
        <v>806</v>
      </c>
      <c r="R48" t="s">
        <v>74</v>
      </c>
      <c r="S48" t="s">
        <v>74</v>
      </c>
      <c r="T48" t="s">
        <v>74</v>
      </c>
      <c r="U48" t="s">
        <v>829</v>
      </c>
      <c r="V48" t="s">
        <v>830</v>
      </c>
      <c r="W48" t="s">
        <v>831</v>
      </c>
      <c r="X48" t="s">
        <v>832</v>
      </c>
      <c r="Y48" t="s">
        <v>833</v>
      </c>
      <c r="Z48" t="s">
        <v>74</v>
      </c>
      <c r="AA48" t="s">
        <v>74</v>
      </c>
      <c r="AB48" t="s">
        <v>74</v>
      </c>
      <c r="AC48" t="s">
        <v>74</v>
      </c>
      <c r="AD48" t="s">
        <v>74</v>
      </c>
      <c r="AE48" t="s">
        <v>74</v>
      </c>
      <c r="AF48" t="s">
        <v>74</v>
      </c>
      <c r="AG48">
        <v>44</v>
      </c>
      <c r="AH48">
        <v>5</v>
      </c>
      <c r="AI48">
        <v>6</v>
      </c>
      <c r="AJ48">
        <v>1</v>
      </c>
      <c r="AK48">
        <v>17</v>
      </c>
      <c r="AL48" t="s">
        <v>791</v>
      </c>
      <c r="AM48" t="s">
        <v>792</v>
      </c>
      <c r="AN48" t="s">
        <v>793</v>
      </c>
      <c r="AO48" t="s">
        <v>794</v>
      </c>
      <c r="AP48" t="s">
        <v>74</v>
      </c>
      <c r="AQ48" t="s">
        <v>74</v>
      </c>
      <c r="AR48" t="s">
        <v>795</v>
      </c>
      <c r="AS48" t="s">
        <v>796</v>
      </c>
      <c r="AT48" t="s">
        <v>737</v>
      </c>
      <c r="AU48">
        <v>2001</v>
      </c>
      <c r="AV48">
        <v>33</v>
      </c>
      <c r="AW48">
        <v>4</v>
      </c>
      <c r="AX48" t="s">
        <v>74</v>
      </c>
      <c r="AY48" t="s">
        <v>74</v>
      </c>
      <c r="AZ48" t="s">
        <v>74</v>
      </c>
      <c r="BA48" t="s">
        <v>74</v>
      </c>
      <c r="BB48">
        <v>397</v>
      </c>
      <c r="BC48">
        <v>403</v>
      </c>
      <c r="BD48" t="s">
        <v>74</v>
      </c>
      <c r="BE48" t="s">
        <v>834</v>
      </c>
      <c r="BF48" t="str">
        <f>HYPERLINK("http://dx.doi.org/10.2307/1552548","http://dx.doi.org/10.2307/1552548")</f>
        <v>http://dx.doi.org/10.2307/1552548</v>
      </c>
      <c r="BG48" t="s">
        <v>74</v>
      </c>
      <c r="BH48" t="s">
        <v>74</v>
      </c>
      <c r="BI48">
        <v>7</v>
      </c>
      <c r="BJ48" t="s">
        <v>798</v>
      </c>
      <c r="BK48" t="s">
        <v>453</v>
      </c>
      <c r="BL48" t="s">
        <v>799</v>
      </c>
      <c r="BM48" t="s">
        <v>800</v>
      </c>
      <c r="BN48" t="s">
        <v>74</v>
      </c>
      <c r="BO48" t="s">
        <v>171</v>
      </c>
      <c r="BP48" t="s">
        <v>74</v>
      </c>
      <c r="BQ48" t="s">
        <v>74</v>
      </c>
      <c r="BR48" t="s">
        <v>91</v>
      </c>
      <c r="BS48" t="s">
        <v>835</v>
      </c>
      <c r="BT48" t="str">
        <f>HYPERLINK("https%3A%2F%2Fwww.webofscience.com%2Fwos%2Fwoscc%2Ffull-record%2FWOS:000172713800004","View Full Record in Web of Science")</f>
        <v>View Full Record in Web of Science</v>
      </c>
    </row>
    <row r="49" spans="1:72" x14ac:dyDescent="0.15">
      <c r="A49" t="s">
        <v>72</v>
      </c>
      <c r="B49" t="s">
        <v>836</v>
      </c>
      <c r="C49" t="s">
        <v>74</v>
      </c>
      <c r="D49" t="s">
        <v>74</v>
      </c>
      <c r="E49" t="s">
        <v>74</v>
      </c>
      <c r="F49" t="s">
        <v>836</v>
      </c>
      <c r="G49" t="s">
        <v>74</v>
      </c>
      <c r="H49" t="s">
        <v>74</v>
      </c>
      <c r="I49" t="s">
        <v>837</v>
      </c>
      <c r="J49" t="s">
        <v>784</v>
      </c>
      <c r="K49" t="s">
        <v>74</v>
      </c>
      <c r="L49" t="s">
        <v>74</v>
      </c>
      <c r="M49" t="s">
        <v>77</v>
      </c>
      <c r="N49" t="s">
        <v>435</v>
      </c>
      <c r="O49" t="s">
        <v>804</v>
      </c>
      <c r="P49" t="s">
        <v>805</v>
      </c>
      <c r="Q49" t="s">
        <v>806</v>
      </c>
      <c r="R49" t="s">
        <v>74</v>
      </c>
      <c r="S49" t="s">
        <v>74</v>
      </c>
      <c r="T49" t="s">
        <v>74</v>
      </c>
      <c r="U49" t="s">
        <v>838</v>
      </c>
      <c r="V49" t="s">
        <v>839</v>
      </c>
      <c r="W49" t="s">
        <v>840</v>
      </c>
      <c r="X49" t="s">
        <v>841</v>
      </c>
      <c r="Y49" t="s">
        <v>842</v>
      </c>
      <c r="Z49" t="s">
        <v>843</v>
      </c>
      <c r="AA49" t="s">
        <v>74</v>
      </c>
      <c r="AB49" t="s">
        <v>74</v>
      </c>
      <c r="AC49" t="s">
        <v>74</v>
      </c>
      <c r="AD49" t="s">
        <v>74</v>
      </c>
      <c r="AE49" t="s">
        <v>74</v>
      </c>
      <c r="AF49" t="s">
        <v>74</v>
      </c>
      <c r="AG49">
        <v>25</v>
      </c>
      <c r="AH49">
        <v>82</v>
      </c>
      <c r="AI49">
        <v>88</v>
      </c>
      <c r="AJ49">
        <v>1</v>
      </c>
      <c r="AK49">
        <v>28</v>
      </c>
      <c r="AL49" t="s">
        <v>104</v>
      </c>
      <c r="AM49" t="s">
        <v>105</v>
      </c>
      <c r="AN49" t="s">
        <v>106</v>
      </c>
      <c r="AO49" t="s">
        <v>794</v>
      </c>
      <c r="AP49" t="s">
        <v>814</v>
      </c>
      <c r="AQ49" t="s">
        <v>74</v>
      </c>
      <c r="AR49" t="s">
        <v>795</v>
      </c>
      <c r="AS49" t="s">
        <v>796</v>
      </c>
      <c r="AT49" t="s">
        <v>737</v>
      </c>
      <c r="AU49">
        <v>2001</v>
      </c>
      <c r="AV49">
        <v>33</v>
      </c>
      <c r="AW49">
        <v>4</v>
      </c>
      <c r="AX49" t="s">
        <v>74</v>
      </c>
      <c r="AY49" t="s">
        <v>74</v>
      </c>
      <c r="AZ49" t="s">
        <v>74</v>
      </c>
      <c r="BA49" t="s">
        <v>74</v>
      </c>
      <c r="BB49">
        <v>404</v>
      </c>
      <c r="BC49">
        <v>409</v>
      </c>
      <c r="BD49" t="s">
        <v>74</v>
      </c>
      <c r="BE49" t="s">
        <v>844</v>
      </c>
      <c r="BF49" t="str">
        <f>HYPERLINK("http://dx.doi.org/10.2307/1552549","http://dx.doi.org/10.2307/1552549")</f>
        <v>http://dx.doi.org/10.2307/1552549</v>
      </c>
      <c r="BG49" t="s">
        <v>74</v>
      </c>
      <c r="BH49" t="s">
        <v>74</v>
      </c>
      <c r="BI49">
        <v>6</v>
      </c>
      <c r="BJ49" t="s">
        <v>798</v>
      </c>
      <c r="BK49" t="s">
        <v>816</v>
      </c>
      <c r="BL49" t="s">
        <v>799</v>
      </c>
      <c r="BM49" t="s">
        <v>800</v>
      </c>
      <c r="BN49" t="s">
        <v>74</v>
      </c>
      <c r="BO49" t="s">
        <v>74</v>
      </c>
      <c r="BP49" t="s">
        <v>74</v>
      </c>
      <c r="BQ49" t="s">
        <v>74</v>
      </c>
      <c r="BR49" t="s">
        <v>91</v>
      </c>
      <c r="BS49" t="s">
        <v>845</v>
      </c>
      <c r="BT49" t="str">
        <f>HYPERLINK("https%3A%2F%2Fwww.webofscience.com%2Fwos%2Fwoscc%2Ffull-record%2FWOS:000172713800005","View Full Record in Web of Science")</f>
        <v>View Full Record in Web of Science</v>
      </c>
    </row>
    <row r="50" spans="1:72" x14ac:dyDescent="0.15">
      <c r="A50" t="s">
        <v>72</v>
      </c>
      <c r="B50" t="s">
        <v>846</v>
      </c>
      <c r="C50" t="s">
        <v>74</v>
      </c>
      <c r="D50" t="s">
        <v>74</v>
      </c>
      <c r="E50" t="s">
        <v>74</v>
      </c>
      <c r="F50" t="s">
        <v>846</v>
      </c>
      <c r="G50" t="s">
        <v>74</v>
      </c>
      <c r="H50" t="s">
        <v>74</v>
      </c>
      <c r="I50" t="s">
        <v>847</v>
      </c>
      <c r="J50" t="s">
        <v>784</v>
      </c>
      <c r="K50" t="s">
        <v>74</v>
      </c>
      <c r="L50" t="s">
        <v>74</v>
      </c>
      <c r="M50" t="s">
        <v>77</v>
      </c>
      <c r="N50" t="s">
        <v>435</v>
      </c>
      <c r="O50" t="s">
        <v>804</v>
      </c>
      <c r="P50" t="s">
        <v>805</v>
      </c>
      <c r="Q50" t="s">
        <v>806</v>
      </c>
      <c r="R50" t="s">
        <v>74</v>
      </c>
      <c r="S50" t="s">
        <v>74</v>
      </c>
      <c r="T50" t="s">
        <v>74</v>
      </c>
      <c r="U50" t="s">
        <v>848</v>
      </c>
      <c r="V50" t="s">
        <v>849</v>
      </c>
      <c r="W50" t="s">
        <v>850</v>
      </c>
      <c r="X50" t="s">
        <v>851</v>
      </c>
      <c r="Y50" t="s">
        <v>852</v>
      </c>
      <c r="Z50" t="s">
        <v>74</v>
      </c>
      <c r="AA50" t="s">
        <v>74</v>
      </c>
      <c r="AB50" t="s">
        <v>853</v>
      </c>
      <c r="AC50" t="s">
        <v>74</v>
      </c>
      <c r="AD50" t="s">
        <v>74</v>
      </c>
      <c r="AE50" t="s">
        <v>74</v>
      </c>
      <c r="AF50" t="s">
        <v>74</v>
      </c>
      <c r="AG50">
        <v>29</v>
      </c>
      <c r="AH50">
        <v>43</v>
      </c>
      <c r="AI50">
        <v>45</v>
      </c>
      <c r="AJ50">
        <v>1</v>
      </c>
      <c r="AK50">
        <v>12</v>
      </c>
      <c r="AL50" t="s">
        <v>791</v>
      </c>
      <c r="AM50" t="s">
        <v>792</v>
      </c>
      <c r="AN50" t="s">
        <v>793</v>
      </c>
      <c r="AO50" t="s">
        <v>794</v>
      </c>
      <c r="AP50" t="s">
        <v>74</v>
      </c>
      <c r="AQ50" t="s">
        <v>74</v>
      </c>
      <c r="AR50" t="s">
        <v>795</v>
      </c>
      <c r="AS50" t="s">
        <v>796</v>
      </c>
      <c r="AT50" t="s">
        <v>737</v>
      </c>
      <c r="AU50">
        <v>2001</v>
      </c>
      <c r="AV50">
        <v>33</v>
      </c>
      <c r="AW50">
        <v>4</v>
      </c>
      <c r="AX50" t="s">
        <v>74</v>
      </c>
      <c r="AY50" t="s">
        <v>74</v>
      </c>
      <c r="AZ50" t="s">
        <v>74</v>
      </c>
      <c r="BA50" t="s">
        <v>74</v>
      </c>
      <c r="BB50">
        <v>410</v>
      </c>
      <c r="BC50">
        <v>417</v>
      </c>
      <c r="BD50" t="s">
        <v>74</v>
      </c>
      <c r="BE50" t="s">
        <v>854</v>
      </c>
      <c r="BF50" t="str">
        <f>HYPERLINK("http://dx.doi.org/10.2307/1552550","http://dx.doi.org/10.2307/1552550")</f>
        <v>http://dx.doi.org/10.2307/1552550</v>
      </c>
      <c r="BG50" t="s">
        <v>74</v>
      </c>
      <c r="BH50" t="s">
        <v>74</v>
      </c>
      <c r="BI50">
        <v>8</v>
      </c>
      <c r="BJ50" t="s">
        <v>798</v>
      </c>
      <c r="BK50" t="s">
        <v>453</v>
      </c>
      <c r="BL50" t="s">
        <v>799</v>
      </c>
      <c r="BM50" t="s">
        <v>800</v>
      </c>
      <c r="BN50" t="s">
        <v>74</v>
      </c>
      <c r="BO50" t="s">
        <v>171</v>
      </c>
      <c r="BP50" t="s">
        <v>74</v>
      </c>
      <c r="BQ50" t="s">
        <v>74</v>
      </c>
      <c r="BR50" t="s">
        <v>91</v>
      </c>
      <c r="BS50" t="s">
        <v>855</v>
      </c>
      <c r="BT50" t="str">
        <f>HYPERLINK("https%3A%2F%2Fwww.webofscience.com%2Fwos%2Fwoscc%2Ffull-record%2FWOS:000172713800006","View Full Record in Web of Science")</f>
        <v>View Full Record in Web of Science</v>
      </c>
    </row>
    <row r="51" spans="1:72" x14ac:dyDescent="0.15">
      <c r="A51" t="s">
        <v>72</v>
      </c>
      <c r="B51" t="s">
        <v>856</v>
      </c>
      <c r="C51" t="s">
        <v>74</v>
      </c>
      <c r="D51" t="s">
        <v>74</v>
      </c>
      <c r="E51" t="s">
        <v>74</v>
      </c>
      <c r="F51" t="s">
        <v>856</v>
      </c>
      <c r="G51" t="s">
        <v>74</v>
      </c>
      <c r="H51" t="s">
        <v>74</v>
      </c>
      <c r="I51" t="s">
        <v>857</v>
      </c>
      <c r="J51" t="s">
        <v>784</v>
      </c>
      <c r="K51" t="s">
        <v>74</v>
      </c>
      <c r="L51" t="s">
        <v>74</v>
      </c>
      <c r="M51" t="s">
        <v>77</v>
      </c>
      <c r="N51" t="s">
        <v>435</v>
      </c>
      <c r="O51" t="s">
        <v>804</v>
      </c>
      <c r="P51" t="s">
        <v>805</v>
      </c>
      <c r="Q51" t="s">
        <v>806</v>
      </c>
      <c r="R51" t="s">
        <v>74</v>
      </c>
      <c r="S51" t="s">
        <v>74</v>
      </c>
      <c r="T51" t="s">
        <v>74</v>
      </c>
      <c r="U51" t="s">
        <v>858</v>
      </c>
      <c r="V51" t="s">
        <v>859</v>
      </c>
      <c r="W51" t="s">
        <v>860</v>
      </c>
      <c r="X51" t="s">
        <v>861</v>
      </c>
      <c r="Y51" t="s">
        <v>862</v>
      </c>
      <c r="Z51" t="s">
        <v>863</v>
      </c>
      <c r="AA51" t="s">
        <v>864</v>
      </c>
      <c r="AB51" t="s">
        <v>74</v>
      </c>
      <c r="AC51" t="s">
        <v>74</v>
      </c>
      <c r="AD51" t="s">
        <v>74</v>
      </c>
      <c r="AE51" t="s">
        <v>74</v>
      </c>
      <c r="AF51" t="s">
        <v>74</v>
      </c>
      <c r="AG51">
        <v>20</v>
      </c>
      <c r="AH51">
        <v>96</v>
      </c>
      <c r="AI51">
        <v>106</v>
      </c>
      <c r="AJ51">
        <v>1</v>
      </c>
      <c r="AK51">
        <v>35</v>
      </c>
      <c r="AL51" t="s">
        <v>791</v>
      </c>
      <c r="AM51" t="s">
        <v>792</v>
      </c>
      <c r="AN51" t="s">
        <v>793</v>
      </c>
      <c r="AO51" t="s">
        <v>794</v>
      </c>
      <c r="AP51" t="s">
        <v>74</v>
      </c>
      <c r="AQ51" t="s">
        <v>74</v>
      </c>
      <c r="AR51" t="s">
        <v>795</v>
      </c>
      <c r="AS51" t="s">
        <v>796</v>
      </c>
      <c r="AT51" t="s">
        <v>737</v>
      </c>
      <c r="AU51">
        <v>2001</v>
      </c>
      <c r="AV51">
        <v>33</v>
      </c>
      <c r="AW51">
        <v>4</v>
      </c>
      <c r="AX51" t="s">
        <v>74</v>
      </c>
      <c r="AY51" t="s">
        <v>74</v>
      </c>
      <c r="AZ51" t="s">
        <v>74</v>
      </c>
      <c r="BA51" t="s">
        <v>74</v>
      </c>
      <c r="BB51">
        <v>418</v>
      </c>
      <c r="BC51">
        <v>425</v>
      </c>
      <c r="BD51" t="s">
        <v>74</v>
      </c>
      <c r="BE51" t="s">
        <v>865</v>
      </c>
      <c r="BF51" t="str">
        <f>HYPERLINK("http://dx.doi.org/10.2307/1552551","http://dx.doi.org/10.2307/1552551")</f>
        <v>http://dx.doi.org/10.2307/1552551</v>
      </c>
      <c r="BG51" t="s">
        <v>74</v>
      </c>
      <c r="BH51" t="s">
        <v>74</v>
      </c>
      <c r="BI51">
        <v>8</v>
      </c>
      <c r="BJ51" t="s">
        <v>798</v>
      </c>
      <c r="BK51" t="s">
        <v>816</v>
      </c>
      <c r="BL51" t="s">
        <v>799</v>
      </c>
      <c r="BM51" t="s">
        <v>800</v>
      </c>
      <c r="BN51" t="s">
        <v>74</v>
      </c>
      <c r="BO51" t="s">
        <v>171</v>
      </c>
      <c r="BP51" t="s">
        <v>74</v>
      </c>
      <c r="BQ51" t="s">
        <v>74</v>
      </c>
      <c r="BR51" t="s">
        <v>91</v>
      </c>
      <c r="BS51" t="s">
        <v>866</v>
      </c>
      <c r="BT51" t="str">
        <f>HYPERLINK("https%3A%2F%2Fwww.webofscience.com%2Fwos%2Fwoscc%2Ffull-record%2FWOS:000172713800007","View Full Record in Web of Science")</f>
        <v>View Full Record in Web of Science</v>
      </c>
    </row>
    <row r="52" spans="1:72" x14ac:dyDescent="0.15">
      <c r="A52" t="s">
        <v>72</v>
      </c>
      <c r="B52" t="s">
        <v>867</v>
      </c>
      <c r="C52" t="s">
        <v>74</v>
      </c>
      <c r="D52" t="s">
        <v>74</v>
      </c>
      <c r="E52" t="s">
        <v>74</v>
      </c>
      <c r="F52" t="s">
        <v>867</v>
      </c>
      <c r="G52" t="s">
        <v>74</v>
      </c>
      <c r="H52" t="s">
        <v>74</v>
      </c>
      <c r="I52" t="s">
        <v>868</v>
      </c>
      <c r="J52" t="s">
        <v>784</v>
      </c>
      <c r="K52" t="s">
        <v>74</v>
      </c>
      <c r="L52" t="s">
        <v>74</v>
      </c>
      <c r="M52" t="s">
        <v>77</v>
      </c>
      <c r="N52" t="s">
        <v>435</v>
      </c>
      <c r="O52" t="s">
        <v>804</v>
      </c>
      <c r="P52" t="s">
        <v>805</v>
      </c>
      <c r="Q52" t="s">
        <v>806</v>
      </c>
      <c r="R52" t="s">
        <v>74</v>
      </c>
      <c r="S52" t="s">
        <v>74</v>
      </c>
      <c r="T52" t="s">
        <v>74</v>
      </c>
      <c r="U52" t="s">
        <v>869</v>
      </c>
      <c r="V52" t="s">
        <v>870</v>
      </c>
      <c r="W52" t="s">
        <v>871</v>
      </c>
      <c r="X52" t="s">
        <v>872</v>
      </c>
      <c r="Y52" t="s">
        <v>873</v>
      </c>
      <c r="Z52" t="s">
        <v>874</v>
      </c>
      <c r="AA52" t="s">
        <v>875</v>
      </c>
      <c r="AB52" t="s">
        <v>876</v>
      </c>
      <c r="AC52" t="s">
        <v>74</v>
      </c>
      <c r="AD52" t="s">
        <v>74</v>
      </c>
      <c r="AE52" t="s">
        <v>74</v>
      </c>
      <c r="AF52" t="s">
        <v>74</v>
      </c>
      <c r="AG52">
        <v>51</v>
      </c>
      <c r="AH52">
        <v>44</v>
      </c>
      <c r="AI52">
        <v>46</v>
      </c>
      <c r="AJ52">
        <v>1</v>
      </c>
      <c r="AK52">
        <v>16</v>
      </c>
      <c r="AL52" t="s">
        <v>104</v>
      </c>
      <c r="AM52" t="s">
        <v>105</v>
      </c>
      <c r="AN52" t="s">
        <v>106</v>
      </c>
      <c r="AO52" t="s">
        <v>794</v>
      </c>
      <c r="AP52" t="s">
        <v>814</v>
      </c>
      <c r="AQ52" t="s">
        <v>74</v>
      </c>
      <c r="AR52" t="s">
        <v>795</v>
      </c>
      <c r="AS52" t="s">
        <v>796</v>
      </c>
      <c r="AT52" t="s">
        <v>737</v>
      </c>
      <c r="AU52">
        <v>2001</v>
      </c>
      <c r="AV52">
        <v>33</v>
      </c>
      <c r="AW52">
        <v>4</v>
      </c>
      <c r="AX52" t="s">
        <v>74</v>
      </c>
      <c r="AY52" t="s">
        <v>74</v>
      </c>
      <c r="AZ52" t="s">
        <v>74</v>
      </c>
      <c r="BA52" t="s">
        <v>74</v>
      </c>
      <c r="BB52">
        <v>426</v>
      </c>
      <c r="BC52">
        <v>434</v>
      </c>
      <c r="BD52" t="s">
        <v>74</v>
      </c>
      <c r="BE52" t="s">
        <v>877</v>
      </c>
      <c r="BF52" t="str">
        <f>HYPERLINK("http://dx.doi.org/10.2307/1552552","http://dx.doi.org/10.2307/1552552")</f>
        <v>http://dx.doi.org/10.2307/1552552</v>
      </c>
      <c r="BG52" t="s">
        <v>74</v>
      </c>
      <c r="BH52" t="s">
        <v>74</v>
      </c>
      <c r="BI52">
        <v>9</v>
      </c>
      <c r="BJ52" t="s">
        <v>798</v>
      </c>
      <c r="BK52" t="s">
        <v>816</v>
      </c>
      <c r="BL52" t="s">
        <v>799</v>
      </c>
      <c r="BM52" t="s">
        <v>800</v>
      </c>
      <c r="BN52" t="s">
        <v>74</v>
      </c>
      <c r="BO52" t="s">
        <v>171</v>
      </c>
      <c r="BP52" t="s">
        <v>74</v>
      </c>
      <c r="BQ52" t="s">
        <v>74</v>
      </c>
      <c r="BR52" t="s">
        <v>91</v>
      </c>
      <c r="BS52" t="s">
        <v>878</v>
      </c>
      <c r="BT52" t="str">
        <f>HYPERLINK("https%3A%2F%2Fwww.webofscience.com%2Fwos%2Fwoscc%2Ffull-record%2FWOS:000172713800008","View Full Record in Web of Science")</f>
        <v>View Full Record in Web of Science</v>
      </c>
    </row>
    <row r="53" spans="1:72" x14ac:dyDescent="0.15">
      <c r="A53" t="s">
        <v>72</v>
      </c>
      <c r="B53" t="s">
        <v>879</v>
      </c>
      <c r="C53" t="s">
        <v>74</v>
      </c>
      <c r="D53" t="s">
        <v>74</v>
      </c>
      <c r="E53" t="s">
        <v>74</v>
      </c>
      <c r="F53" t="s">
        <v>879</v>
      </c>
      <c r="G53" t="s">
        <v>74</v>
      </c>
      <c r="H53" t="s">
        <v>74</v>
      </c>
      <c r="I53" t="s">
        <v>880</v>
      </c>
      <c r="J53" t="s">
        <v>784</v>
      </c>
      <c r="K53" t="s">
        <v>74</v>
      </c>
      <c r="L53" t="s">
        <v>74</v>
      </c>
      <c r="M53" t="s">
        <v>77</v>
      </c>
      <c r="N53" t="s">
        <v>435</v>
      </c>
      <c r="O53" t="s">
        <v>804</v>
      </c>
      <c r="P53" t="s">
        <v>805</v>
      </c>
      <c r="Q53" t="s">
        <v>806</v>
      </c>
      <c r="R53" t="s">
        <v>74</v>
      </c>
      <c r="S53" t="s">
        <v>74</v>
      </c>
      <c r="T53" t="s">
        <v>74</v>
      </c>
      <c r="U53" t="s">
        <v>74</v>
      </c>
      <c r="V53" t="s">
        <v>881</v>
      </c>
      <c r="W53" t="s">
        <v>882</v>
      </c>
      <c r="X53" t="s">
        <v>883</v>
      </c>
      <c r="Y53" t="s">
        <v>884</v>
      </c>
      <c r="Z53" t="s">
        <v>74</v>
      </c>
      <c r="AA53" t="s">
        <v>885</v>
      </c>
      <c r="AB53" t="s">
        <v>74</v>
      </c>
      <c r="AC53" t="s">
        <v>74</v>
      </c>
      <c r="AD53" t="s">
        <v>74</v>
      </c>
      <c r="AE53" t="s">
        <v>74</v>
      </c>
      <c r="AF53" t="s">
        <v>74</v>
      </c>
      <c r="AG53">
        <v>7</v>
      </c>
      <c r="AH53">
        <v>2</v>
      </c>
      <c r="AI53">
        <v>2</v>
      </c>
      <c r="AJ53">
        <v>0</v>
      </c>
      <c r="AK53">
        <v>3</v>
      </c>
      <c r="AL53" t="s">
        <v>791</v>
      </c>
      <c r="AM53" t="s">
        <v>792</v>
      </c>
      <c r="AN53" t="s">
        <v>793</v>
      </c>
      <c r="AO53" t="s">
        <v>794</v>
      </c>
      <c r="AP53" t="s">
        <v>74</v>
      </c>
      <c r="AQ53" t="s">
        <v>74</v>
      </c>
      <c r="AR53" t="s">
        <v>795</v>
      </c>
      <c r="AS53" t="s">
        <v>796</v>
      </c>
      <c r="AT53" t="s">
        <v>737</v>
      </c>
      <c r="AU53">
        <v>2001</v>
      </c>
      <c r="AV53">
        <v>33</v>
      </c>
      <c r="AW53">
        <v>4</v>
      </c>
      <c r="AX53" t="s">
        <v>74</v>
      </c>
      <c r="AY53" t="s">
        <v>74</v>
      </c>
      <c r="AZ53" t="s">
        <v>74</v>
      </c>
      <c r="BA53" t="s">
        <v>74</v>
      </c>
      <c r="BB53">
        <v>435</v>
      </c>
      <c r="BC53">
        <v>439</v>
      </c>
      <c r="BD53" t="s">
        <v>74</v>
      </c>
      <c r="BE53" t="s">
        <v>886</v>
      </c>
      <c r="BF53" t="str">
        <f>HYPERLINK("http://dx.doi.org/10.2307/1552553","http://dx.doi.org/10.2307/1552553")</f>
        <v>http://dx.doi.org/10.2307/1552553</v>
      </c>
      <c r="BG53" t="s">
        <v>74</v>
      </c>
      <c r="BH53" t="s">
        <v>74</v>
      </c>
      <c r="BI53">
        <v>5</v>
      </c>
      <c r="BJ53" t="s">
        <v>798</v>
      </c>
      <c r="BK53" t="s">
        <v>453</v>
      </c>
      <c r="BL53" t="s">
        <v>799</v>
      </c>
      <c r="BM53" t="s">
        <v>800</v>
      </c>
      <c r="BN53" t="s">
        <v>74</v>
      </c>
      <c r="BO53" t="s">
        <v>171</v>
      </c>
      <c r="BP53" t="s">
        <v>74</v>
      </c>
      <c r="BQ53" t="s">
        <v>74</v>
      </c>
      <c r="BR53" t="s">
        <v>91</v>
      </c>
      <c r="BS53" t="s">
        <v>887</v>
      </c>
      <c r="BT53" t="str">
        <f>HYPERLINK("https%3A%2F%2Fwww.webofscience.com%2Fwos%2Fwoscc%2Ffull-record%2FWOS:000172713800009","View Full Record in Web of Science")</f>
        <v>View Full Record in Web of Science</v>
      </c>
    </row>
    <row r="54" spans="1:72" x14ac:dyDescent="0.15">
      <c r="A54" t="s">
        <v>72</v>
      </c>
      <c r="B54" t="s">
        <v>888</v>
      </c>
      <c r="C54" t="s">
        <v>74</v>
      </c>
      <c r="D54" t="s">
        <v>74</v>
      </c>
      <c r="E54" t="s">
        <v>74</v>
      </c>
      <c r="F54" t="s">
        <v>888</v>
      </c>
      <c r="G54" t="s">
        <v>74</v>
      </c>
      <c r="H54" t="s">
        <v>74</v>
      </c>
      <c r="I54" t="s">
        <v>889</v>
      </c>
      <c r="J54" t="s">
        <v>784</v>
      </c>
      <c r="K54" t="s">
        <v>74</v>
      </c>
      <c r="L54" t="s">
        <v>74</v>
      </c>
      <c r="M54" t="s">
        <v>77</v>
      </c>
      <c r="N54" t="s">
        <v>435</v>
      </c>
      <c r="O54" t="s">
        <v>804</v>
      </c>
      <c r="P54" t="s">
        <v>805</v>
      </c>
      <c r="Q54" t="s">
        <v>806</v>
      </c>
      <c r="R54" t="s">
        <v>74</v>
      </c>
      <c r="S54" t="s">
        <v>74</v>
      </c>
      <c r="T54" t="s">
        <v>74</v>
      </c>
      <c r="U54" t="s">
        <v>74</v>
      </c>
      <c r="V54" t="s">
        <v>890</v>
      </c>
      <c r="W54" t="s">
        <v>891</v>
      </c>
      <c r="X54" t="s">
        <v>892</v>
      </c>
      <c r="Y54" t="s">
        <v>893</v>
      </c>
      <c r="Z54" t="s">
        <v>894</v>
      </c>
      <c r="AA54" t="s">
        <v>74</v>
      </c>
      <c r="AB54" t="s">
        <v>74</v>
      </c>
      <c r="AC54" t="s">
        <v>74</v>
      </c>
      <c r="AD54" t="s">
        <v>74</v>
      </c>
      <c r="AE54" t="s">
        <v>74</v>
      </c>
      <c r="AF54" t="s">
        <v>74</v>
      </c>
      <c r="AG54">
        <v>21</v>
      </c>
      <c r="AH54">
        <v>17</v>
      </c>
      <c r="AI54">
        <v>17</v>
      </c>
      <c r="AJ54">
        <v>0</v>
      </c>
      <c r="AK54">
        <v>8</v>
      </c>
      <c r="AL54" t="s">
        <v>104</v>
      </c>
      <c r="AM54" t="s">
        <v>105</v>
      </c>
      <c r="AN54" t="s">
        <v>106</v>
      </c>
      <c r="AO54" t="s">
        <v>794</v>
      </c>
      <c r="AP54" t="s">
        <v>814</v>
      </c>
      <c r="AQ54" t="s">
        <v>74</v>
      </c>
      <c r="AR54" t="s">
        <v>795</v>
      </c>
      <c r="AS54" t="s">
        <v>796</v>
      </c>
      <c r="AT54" t="s">
        <v>737</v>
      </c>
      <c r="AU54">
        <v>2001</v>
      </c>
      <c r="AV54">
        <v>33</v>
      </c>
      <c r="AW54">
        <v>4</v>
      </c>
      <c r="AX54" t="s">
        <v>74</v>
      </c>
      <c r="AY54" t="s">
        <v>74</v>
      </c>
      <c r="AZ54" t="s">
        <v>74</v>
      </c>
      <c r="BA54" t="s">
        <v>74</v>
      </c>
      <c r="BB54">
        <v>440</v>
      </c>
      <c r="BC54">
        <v>446</v>
      </c>
      <c r="BD54" t="s">
        <v>74</v>
      </c>
      <c r="BE54" t="s">
        <v>895</v>
      </c>
      <c r="BF54" t="str">
        <f>HYPERLINK("http://dx.doi.org/10.2307/1552554","http://dx.doi.org/10.2307/1552554")</f>
        <v>http://dx.doi.org/10.2307/1552554</v>
      </c>
      <c r="BG54" t="s">
        <v>74</v>
      </c>
      <c r="BH54" t="s">
        <v>74</v>
      </c>
      <c r="BI54">
        <v>7</v>
      </c>
      <c r="BJ54" t="s">
        <v>798</v>
      </c>
      <c r="BK54" t="s">
        <v>816</v>
      </c>
      <c r="BL54" t="s">
        <v>799</v>
      </c>
      <c r="BM54" t="s">
        <v>800</v>
      </c>
      <c r="BN54" t="s">
        <v>74</v>
      </c>
      <c r="BO54" t="s">
        <v>896</v>
      </c>
      <c r="BP54" t="s">
        <v>74</v>
      </c>
      <c r="BQ54" t="s">
        <v>74</v>
      </c>
      <c r="BR54" t="s">
        <v>91</v>
      </c>
      <c r="BS54" t="s">
        <v>897</v>
      </c>
      <c r="BT54" t="str">
        <f>HYPERLINK("https%3A%2F%2Fwww.webofscience.com%2Fwos%2Fwoscc%2Ffull-record%2FWOS:000172713800010","View Full Record in Web of Science")</f>
        <v>View Full Record in Web of Science</v>
      </c>
    </row>
    <row r="55" spans="1:72" x14ac:dyDescent="0.15">
      <c r="A55" t="s">
        <v>72</v>
      </c>
      <c r="B55" t="s">
        <v>898</v>
      </c>
      <c r="C55" t="s">
        <v>74</v>
      </c>
      <c r="D55" t="s">
        <v>74</v>
      </c>
      <c r="E55" t="s">
        <v>74</v>
      </c>
      <c r="F55" t="s">
        <v>898</v>
      </c>
      <c r="G55" t="s">
        <v>74</v>
      </c>
      <c r="H55" t="s">
        <v>74</v>
      </c>
      <c r="I55" t="s">
        <v>899</v>
      </c>
      <c r="J55" t="s">
        <v>784</v>
      </c>
      <c r="K55" t="s">
        <v>74</v>
      </c>
      <c r="L55" t="s">
        <v>74</v>
      </c>
      <c r="M55" t="s">
        <v>77</v>
      </c>
      <c r="N55" t="s">
        <v>435</v>
      </c>
      <c r="O55" t="s">
        <v>804</v>
      </c>
      <c r="P55" t="s">
        <v>805</v>
      </c>
      <c r="Q55" t="s">
        <v>806</v>
      </c>
      <c r="R55" t="s">
        <v>74</v>
      </c>
      <c r="S55" t="s">
        <v>74</v>
      </c>
      <c r="T55" t="s">
        <v>74</v>
      </c>
      <c r="U55" t="s">
        <v>900</v>
      </c>
      <c r="V55" t="s">
        <v>901</v>
      </c>
      <c r="W55" t="s">
        <v>902</v>
      </c>
      <c r="X55" t="s">
        <v>903</v>
      </c>
      <c r="Y55" t="s">
        <v>904</v>
      </c>
      <c r="Z55" t="s">
        <v>905</v>
      </c>
      <c r="AA55" t="s">
        <v>74</v>
      </c>
      <c r="AB55" t="s">
        <v>74</v>
      </c>
      <c r="AC55" t="s">
        <v>74</v>
      </c>
      <c r="AD55" t="s">
        <v>74</v>
      </c>
      <c r="AE55" t="s">
        <v>74</v>
      </c>
      <c r="AF55" t="s">
        <v>74</v>
      </c>
      <c r="AG55">
        <v>30</v>
      </c>
      <c r="AH55">
        <v>46</v>
      </c>
      <c r="AI55">
        <v>50</v>
      </c>
      <c r="AJ55">
        <v>1</v>
      </c>
      <c r="AK55">
        <v>23</v>
      </c>
      <c r="AL55" t="s">
        <v>104</v>
      </c>
      <c r="AM55" t="s">
        <v>105</v>
      </c>
      <c r="AN55" t="s">
        <v>106</v>
      </c>
      <c r="AO55" t="s">
        <v>794</v>
      </c>
      <c r="AP55" t="s">
        <v>814</v>
      </c>
      <c r="AQ55" t="s">
        <v>74</v>
      </c>
      <c r="AR55" t="s">
        <v>795</v>
      </c>
      <c r="AS55" t="s">
        <v>796</v>
      </c>
      <c r="AT55" t="s">
        <v>737</v>
      </c>
      <c r="AU55">
        <v>2001</v>
      </c>
      <c r="AV55">
        <v>33</v>
      </c>
      <c r="AW55">
        <v>4</v>
      </c>
      <c r="AX55" t="s">
        <v>74</v>
      </c>
      <c r="AY55" t="s">
        <v>74</v>
      </c>
      <c r="AZ55" t="s">
        <v>74</v>
      </c>
      <c r="BA55" t="s">
        <v>74</v>
      </c>
      <c r="BB55">
        <v>447</v>
      </c>
      <c r="BC55">
        <v>456</v>
      </c>
      <c r="BD55" t="s">
        <v>74</v>
      </c>
      <c r="BE55" t="s">
        <v>906</v>
      </c>
      <c r="BF55" t="str">
        <f>HYPERLINK("http://dx.doi.org/10.2307/1552555","http://dx.doi.org/10.2307/1552555")</f>
        <v>http://dx.doi.org/10.2307/1552555</v>
      </c>
      <c r="BG55" t="s">
        <v>74</v>
      </c>
      <c r="BH55" t="s">
        <v>74</v>
      </c>
      <c r="BI55">
        <v>10</v>
      </c>
      <c r="BJ55" t="s">
        <v>798</v>
      </c>
      <c r="BK55" t="s">
        <v>816</v>
      </c>
      <c r="BL55" t="s">
        <v>799</v>
      </c>
      <c r="BM55" t="s">
        <v>800</v>
      </c>
      <c r="BN55" t="s">
        <v>74</v>
      </c>
      <c r="BO55" t="s">
        <v>907</v>
      </c>
      <c r="BP55" t="s">
        <v>74</v>
      </c>
      <c r="BQ55" t="s">
        <v>74</v>
      </c>
      <c r="BR55" t="s">
        <v>91</v>
      </c>
      <c r="BS55" t="s">
        <v>908</v>
      </c>
      <c r="BT55" t="str">
        <f>HYPERLINK("https%3A%2F%2Fwww.webofscience.com%2Fwos%2Fwoscc%2Ffull-record%2FWOS:000172713800011","View Full Record in Web of Science")</f>
        <v>View Full Record in Web of Science</v>
      </c>
    </row>
    <row r="56" spans="1:72" x14ac:dyDescent="0.15">
      <c r="A56" t="s">
        <v>72</v>
      </c>
      <c r="B56" t="s">
        <v>909</v>
      </c>
      <c r="C56" t="s">
        <v>74</v>
      </c>
      <c r="D56" t="s">
        <v>74</v>
      </c>
      <c r="E56" t="s">
        <v>74</v>
      </c>
      <c r="F56" t="s">
        <v>909</v>
      </c>
      <c r="G56" t="s">
        <v>74</v>
      </c>
      <c r="H56" t="s">
        <v>74</v>
      </c>
      <c r="I56" t="s">
        <v>910</v>
      </c>
      <c r="J56" t="s">
        <v>784</v>
      </c>
      <c r="K56" t="s">
        <v>74</v>
      </c>
      <c r="L56" t="s">
        <v>74</v>
      </c>
      <c r="M56" t="s">
        <v>77</v>
      </c>
      <c r="N56" t="s">
        <v>435</v>
      </c>
      <c r="O56" t="s">
        <v>804</v>
      </c>
      <c r="P56" t="s">
        <v>805</v>
      </c>
      <c r="Q56" t="s">
        <v>806</v>
      </c>
      <c r="R56" t="s">
        <v>74</v>
      </c>
      <c r="S56" t="s">
        <v>74</v>
      </c>
      <c r="T56" t="s">
        <v>74</v>
      </c>
      <c r="U56" t="s">
        <v>911</v>
      </c>
      <c r="V56" t="s">
        <v>912</v>
      </c>
      <c r="W56" t="s">
        <v>913</v>
      </c>
      <c r="X56" t="s">
        <v>914</v>
      </c>
      <c r="Y56" t="s">
        <v>915</v>
      </c>
      <c r="Z56" t="s">
        <v>74</v>
      </c>
      <c r="AA56" t="s">
        <v>916</v>
      </c>
      <c r="AB56" t="s">
        <v>917</v>
      </c>
      <c r="AC56" t="s">
        <v>74</v>
      </c>
      <c r="AD56" t="s">
        <v>74</v>
      </c>
      <c r="AE56" t="s">
        <v>74</v>
      </c>
      <c r="AF56" t="s">
        <v>74</v>
      </c>
      <c r="AG56">
        <v>47</v>
      </c>
      <c r="AH56">
        <v>30</v>
      </c>
      <c r="AI56">
        <v>33</v>
      </c>
      <c r="AJ56">
        <v>0</v>
      </c>
      <c r="AK56">
        <v>11</v>
      </c>
      <c r="AL56" t="s">
        <v>791</v>
      </c>
      <c r="AM56" t="s">
        <v>792</v>
      </c>
      <c r="AN56" t="s">
        <v>793</v>
      </c>
      <c r="AO56" t="s">
        <v>794</v>
      </c>
      <c r="AP56" t="s">
        <v>74</v>
      </c>
      <c r="AQ56" t="s">
        <v>74</v>
      </c>
      <c r="AR56" t="s">
        <v>795</v>
      </c>
      <c r="AS56" t="s">
        <v>796</v>
      </c>
      <c r="AT56" t="s">
        <v>737</v>
      </c>
      <c r="AU56">
        <v>2001</v>
      </c>
      <c r="AV56">
        <v>33</v>
      </c>
      <c r="AW56">
        <v>4</v>
      </c>
      <c r="AX56" t="s">
        <v>74</v>
      </c>
      <c r="AY56" t="s">
        <v>74</v>
      </c>
      <c r="AZ56" t="s">
        <v>74</v>
      </c>
      <c r="BA56" t="s">
        <v>74</v>
      </c>
      <c r="BB56">
        <v>457</v>
      </c>
      <c r="BC56">
        <v>466</v>
      </c>
      <c r="BD56" t="s">
        <v>74</v>
      </c>
      <c r="BE56" t="s">
        <v>918</v>
      </c>
      <c r="BF56" t="str">
        <f>HYPERLINK("http://dx.doi.org/10.2307/1552556","http://dx.doi.org/10.2307/1552556")</f>
        <v>http://dx.doi.org/10.2307/1552556</v>
      </c>
      <c r="BG56" t="s">
        <v>74</v>
      </c>
      <c r="BH56" t="s">
        <v>74</v>
      </c>
      <c r="BI56">
        <v>10</v>
      </c>
      <c r="BJ56" t="s">
        <v>798</v>
      </c>
      <c r="BK56" t="s">
        <v>453</v>
      </c>
      <c r="BL56" t="s">
        <v>799</v>
      </c>
      <c r="BM56" t="s">
        <v>800</v>
      </c>
      <c r="BN56" t="s">
        <v>74</v>
      </c>
      <c r="BO56" t="s">
        <v>171</v>
      </c>
      <c r="BP56" t="s">
        <v>74</v>
      </c>
      <c r="BQ56" t="s">
        <v>74</v>
      </c>
      <c r="BR56" t="s">
        <v>91</v>
      </c>
      <c r="BS56" t="s">
        <v>919</v>
      </c>
      <c r="BT56" t="str">
        <f>HYPERLINK("https%3A%2F%2Fwww.webofscience.com%2Fwos%2Fwoscc%2Ffull-record%2FWOS:000172713800012","View Full Record in Web of Science")</f>
        <v>View Full Record in Web of Science</v>
      </c>
    </row>
    <row r="57" spans="1:72" x14ac:dyDescent="0.15">
      <c r="A57" t="s">
        <v>72</v>
      </c>
      <c r="B57" t="s">
        <v>920</v>
      </c>
      <c r="C57" t="s">
        <v>74</v>
      </c>
      <c r="D57" t="s">
        <v>74</v>
      </c>
      <c r="E57" t="s">
        <v>74</v>
      </c>
      <c r="F57" t="s">
        <v>920</v>
      </c>
      <c r="G57" t="s">
        <v>74</v>
      </c>
      <c r="H57" t="s">
        <v>74</v>
      </c>
      <c r="I57" t="s">
        <v>921</v>
      </c>
      <c r="J57" t="s">
        <v>784</v>
      </c>
      <c r="K57" t="s">
        <v>74</v>
      </c>
      <c r="L57" t="s">
        <v>74</v>
      </c>
      <c r="M57" t="s">
        <v>77</v>
      </c>
      <c r="N57" t="s">
        <v>435</v>
      </c>
      <c r="O57" t="s">
        <v>804</v>
      </c>
      <c r="P57" t="s">
        <v>805</v>
      </c>
      <c r="Q57" t="s">
        <v>806</v>
      </c>
      <c r="R57" t="s">
        <v>74</v>
      </c>
      <c r="S57" t="s">
        <v>74</v>
      </c>
      <c r="T57" t="s">
        <v>74</v>
      </c>
      <c r="U57" t="s">
        <v>922</v>
      </c>
      <c r="V57" t="s">
        <v>923</v>
      </c>
      <c r="W57" t="s">
        <v>924</v>
      </c>
      <c r="X57" t="s">
        <v>851</v>
      </c>
      <c r="Y57" t="s">
        <v>925</v>
      </c>
      <c r="Z57" t="s">
        <v>926</v>
      </c>
      <c r="AA57" t="s">
        <v>927</v>
      </c>
      <c r="AB57" t="s">
        <v>928</v>
      </c>
      <c r="AC57" t="s">
        <v>74</v>
      </c>
      <c r="AD57" t="s">
        <v>74</v>
      </c>
      <c r="AE57" t="s">
        <v>74</v>
      </c>
      <c r="AF57" t="s">
        <v>74</v>
      </c>
      <c r="AG57">
        <v>41</v>
      </c>
      <c r="AH57">
        <v>17</v>
      </c>
      <c r="AI57">
        <v>17</v>
      </c>
      <c r="AJ57">
        <v>0</v>
      </c>
      <c r="AK57">
        <v>16</v>
      </c>
      <c r="AL57" t="s">
        <v>104</v>
      </c>
      <c r="AM57" t="s">
        <v>105</v>
      </c>
      <c r="AN57" t="s">
        <v>106</v>
      </c>
      <c r="AO57" t="s">
        <v>794</v>
      </c>
      <c r="AP57" t="s">
        <v>814</v>
      </c>
      <c r="AQ57" t="s">
        <v>74</v>
      </c>
      <c r="AR57" t="s">
        <v>795</v>
      </c>
      <c r="AS57" t="s">
        <v>796</v>
      </c>
      <c r="AT57" t="s">
        <v>737</v>
      </c>
      <c r="AU57">
        <v>2001</v>
      </c>
      <c r="AV57">
        <v>33</v>
      </c>
      <c r="AW57">
        <v>4</v>
      </c>
      <c r="AX57" t="s">
        <v>74</v>
      </c>
      <c r="AY57" t="s">
        <v>74</v>
      </c>
      <c r="AZ57" t="s">
        <v>74</v>
      </c>
      <c r="BA57" t="s">
        <v>74</v>
      </c>
      <c r="BB57">
        <v>467</v>
      </c>
      <c r="BC57">
        <v>475</v>
      </c>
      <c r="BD57" t="s">
        <v>74</v>
      </c>
      <c r="BE57" t="s">
        <v>929</v>
      </c>
      <c r="BF57" t="str">
        <f>HYPERLINK("http://dx.doi.org/10.2307/1552557","http://dx.doi.org/10.2307/1552557")</f>
        <v>http://dx.doi.org/10.2307/1552557</v>
      </c>
      <c r="BG57" t="s">
        <v>74</v>
      </c>
      <c r="BH57" t="s">
        <v>74</v>
      </c>
      <c r="BI57">
        <v>9</v>
      </c>
      <c r="BJ57" t="s">
        <v>798</v>
      </c>
      <c r="BK57" t="s">
        <v>816</v>
      </c>
      <c r="BL57" t="s">
        <v>799</v>
      </c>
      <c r="BM57" t="s">
        <v>800</v>
      </c>
      <c r="BN57" t="s">
        <v>74</v>
      </c>
      <c r="BO57" t="s">
        <v>74</v>
      </c>
      <c r="BP57" t="s">
        <v>74</v>
      </c>
      <c r="BQ57" t="s">
        <v>74</v>
      </c>
      <c r="BR57" t="s">
        <v>91</v>
      </c>
      <c r="BS57" t="s">
        <v>930</v>
      </c>
      <c r="BT57" t="str">
        <f>HYPERLINK("https%3A%2F%2Fwww.webofscience.com%2Fwos%2Fwoscc%2Ffull-record%2FWOS:000172713800013","View Full Record in Web of Science")</f>
        <v>View Full Record in Web of Science</v>
      </c>
    </row>
    <row r="58" spans="1:72" x14ac:dyDescent="0.15">
      <c r="A58" t="s">
        <v>72</v>
      </c>
      <c r="B58" t="s">
        <v>931</v>
      </c>
      <c r="C58" t="s">
        <v>74</v>
      </c>
      <c r="D58" t="s">
        <v>74</v>
      </c>
      <c r="E58" t="s">
        <v>74</v>
      </c>
      <c r="F58" t="s">
        <v>931</v>
      </c>
      <c r="G58" t="s">
        <v>74</v>
      </c>
      <c r="H58" t="s">
        <v>74</v>
      </c>
      <c r="I58" t="s">
        <v>932</v>
      </c>
      <c r="J58" t="s">
        <v>784</v>
      </c>
      <c r="K58" t="s">
        <v>74</v>
      </c>
      <c r="L58" t="s">
        <v>74</v>
      </c>
      <c r="M58" t="s">
        <v>77</v>
      </c>
      <c r="N58" t="s">
        <v>435</v>
      </c>
      <c r="O58" t="s">
        <v>804</v>
      </c>
      <c r="P58" t="s">
        <v>805</v>
      </c>
      <c r="Q58" t="s">
        <v>806</v>
      </c>
      <c r="R58" t="s">
        <v>74</v>
      </c>
      <c r="S58" t="s">
        <v>74</v>
      </c>
      <c r="T58" t="s">
        <v>74</v>
      </c>
      <c r="U58" t="s">
        <v>933</v>
      </c>
      <c r="V58" t="s">
        <v>934</v>
      </c>
      <c r="W58" t="s">
        <v>935</v>
      </c>
      <c r="X58" t="s">
        <v>936</v>
      </c>
      <c r="Y58" t="s">
        <v>937</v>
      </c>
      <c r="Z58" t="s">
        <v>74</v>
      </c>
      <c r="AA58" t="s">
        <v>74</v>
      </c>
      <c r="AB58" t="s">
        <v>74</v>
      </c>
      <c r="AC58" t="s">
        <v>74</v>
      </c>
      <c r="AD58" t="s">
        <v>74</v>
      </c>
      <c r="AE58" t="s">
        <v>74</v>
      </c>
      <c r="AF58" t="s">
        <v>74</v>
      </c>
      <c r="AG58">
        <v>26</v>
      </c>
      <c r="AH58">
        <v>20</v>
      </c>
      <c r="AI58">
        <v>28</v>
      </c>
      <c r="AJ58">
        <v>1</v>
      </c>
      <c r="AK58">
        <v>14</v>
      </c>
      <c r="AL58" t="s">
        <v>791</v>
      </c>
      <c r="AM58" t="s">
        <v>792</v>
      </c>
      <c r="AN58" t="s">
        <v>793</v>
      </c>
      <c r="AO58" t="s">
        <v>794</v>
      </c>
      <c r="AP58" t="s">
        <v>74</v>
      </c>
      <c r="AQ58" t="s">
        <v>74</v>
      </c>
      <c r="AR58" t="s">
        <v>795</v>
      </c>
      <c r="AS58" t="s">
        <v>796</v>
      </c>
      <c r="AT58" t="s">
        <v>737</v>
      </c>
      <c r="AU58">
        <v>2001</v>
      </c>
      <c r="AV58">
        <v>33</v>
      </c>
      <c r="AW58">
        <v>4</v>
      </c>
      <c r="AX58" t="s">
        <v>74</v>
      </c>
      <c r="AY58" t="s">
        <v>74</v>
      </c>
      <c r="AZ58" t="s">
        <v>74</v>
      </c>
      <c r="BA58" t="s">
        <v>74</v>
      </c>
      <c r="BB58">
        <v>476</v>
      </c>
      <c r="BC58">
        <v>480</v>
      </c>
      <c r="BD58" t="s">
        <v>74</v>
      </c>
      <c r="BE58" t="s">
        <v>938</v>
      </c>
      <c r="BF58" t="str">
        <f>HYPERLINK("http://dx.doi.org/10.2307/1552558","http://dx.doi.org/10.2307/1552558")</f>
        <v>http://dx.doi.org/10.2307/1552558</v>
      </c>
      <c r="BG58" t="s">
        <v>74</v>
      </c>
      <c r="BH58" t="s">
        <v>74</v>
      </c>
      <c r="BI58">
        <v>5</v>
      </c>
      <c r="BJ58" t="s">
        <v>798</v>
      </c>
      <c r="BK58" t="s">
        <v>453</v>
      </c>
      <c r="BL58" t="s">
        <v>799</v>
      </c>
      <c r="BM58" t="s">
        <v>800</v>
      </c>
      <c r="BN58" t="s">
        <v>74</v>
      </c>
      <c r="BO58" t="s">
        <v>74</v>
      </c>
      <c r="BP58" t="s">
        <v>74</v>
      </c>
      <c r="BQ58" t="s">
        <v>74</v>
      </c>
      <c r="BR58" t="s">
        <v>91</v>
      </c>
      <c r="BS58" t="s">
        <v>939</v>
      </c>
      <c r="BT58" t="str">
        <f>HYPERLINK("https%3A%2F%2Fwww.webofscience.com%2Fwos%2Fwoscc%2Ffull-record%2FWOS:000172713800014","View Full Record in Web of Science")</f>
        <v>View Full Record in Web of Science</v>
      </c>
    </row>
    <row r="59" spans="1:72" x14ac:dyDescent="0.15">
      <c r="A59" t="s">
        <v>72</v>
      </c>
      <c r="B59" t="s">
        <v>940</v>
      </c>
      <c r="C59" t="s">
        <v>74</v>
      </c>
      <c r="D59" t="s">
        <v>74</v>
      </c>
      <c r="E59" t="s">
        <v>74</v>
      </c>
      <c r="F59" t="s">
        <v>940</v>
      </c>
      <c r="G59" t="s">
        <v>74</v>
      </c>
      <c r="H59" t="s">
        <v>74</v>
      </c>
      <c r="I59" t="s">
        <v>941</v>
      </c>
      <c r="J59" t="s">
        <v>784</v>
      </c>
      <c r="K59" t="s">
        <v>74</v>
      </c>
      <c r="L59" t="s">
        <v>74</v>
      </c>
      <c r="M59" t="s">
        <v>77</v>
      </c>
      <c r="N59" t="s">
        <v>435</v>
      </c>
      <c r="O59" t="s">
        <v>804</v>
      </c>
      <c r="P59" t="s">
        <v>805</v>
      </c>
      <c r="Q59" t="s">
        <v>806</v>
      </c>
      <c r="R59" t="s">
        <v>74</v>
      </c>
      <c r="S59" t="s">
        <v>74</v>
      </c>
      <c r="T59" t="s">
        <v>74</v>
      </c>
      <c r="U59" t="s">
        <v>942</v>
      </c>
      <c r="V59" t="s">
        <v>943</v>
      </c>
      <c r="W59" t="s">
        <v>944</v>
      </c>
      <c r="X59" t="s">
        <v>945</v>
      </c>
      <c r="Y59" t="s">
        <v>946</v>
      </c>
      <c r="Z59" t="s">
        <v>74</v>
      </c>
      <c r="AA59" t="s">
        <v>947</v>
      </c>
      <c r="AB59" t="s">
        <v>948</v>
      </c>
      <c r="AC59" t="s">
        <v>74</v>
      </c>
      <c r="AD59" t="s">
        <v>74</v>
      </c>
      <c r="AE59" t="s">
        <v>74</v>
      </c>
      <c r="AF59" t="s">
        <v>74</v>
      </c>
      <c r="AG59">
        <v>13</v>
      </c>
      <c r="AH59">
        <v>8</v>
      </c>
      <c r="AI59">
        <v>8</v>
      </c>
      <c r="AJ59">
        <v>0</v>
      </c>
      <c r="AK59">
        <v>6</v>
      </c>
      <c r="AL59" t="s">
        <v>791</v>
      </c>
      <c r="AM59" t="s">
        <v>792</v>
      </c>
      <c r="AN59" t="s">
        <v>793</v>
      </c>
      <c r="AO59" t="s">
        <v>794</v>
      </c>
      <c r="AP59" t="s">
        <v>74</v>
      </c>
      <c r="AQ59" t="s">
        <v>74</v>
      </c>
      <c r="AR59" t="s">
        <v>795</v>
      </c>
      <c r="AS59" t="s">
        <v>796</v>
      </c>
      <c r="AT59" t="s">
        <v>737</v>
      </c>
      <c r="AU59">
        <v>2001</v>
      </c>
      <c r="AV59">
        <v>33</v>
      </c>
      <c r="AW59">
        <v>4</v>
      </c>
      <c r="AX59" t="s">
        <v>74</v>
      </c>
      <c r="AY59" t="s">
        <v>74</v>
      </c>
      <c r="AZ59" t="s">
        <v>74</v>
      </c>
      <c r="BA59" t="s">
        <v>74</v>
      </c>
      <c r="BB59">
        <v>481</v>
      </c>
      <c r="BC59">
        <v>484</v>
      </c>
      <c r="BD59" t="s">
        <v>74</v>
      </c>
      <c r="BE59" t="s">
        <v>949</v>
      </c>
      <c r="BF59" t="str">
        <f>HYPERLINK("http://dx.doi.org/10.2307/1552559","http://dx.doi.org/10.2307/1552559")</f>
        <v>http://dx.doi.org/10.2307/1552559</v>
      </c>
      <c r="BG59" t="s">
        <v>74</v>
      </c>
      <c r="BH59" t="s">
        <v>74</v>
      </c>
      <c r="BI59">
        <v>4</v>
      </c>
      <c r="BJ59" t="s">
        <v>798</v>
      </c>
      <c r="BK59" t="s">
        <v>453</v>
      </c>
      <c r="BL59" t="s">
        <v>799</v>
      </c>
      <c r="BM59" t="s">
        <v>800</v>
      </c>
      <c r="BN59" t="s">
        <v>74</v>
      </c>
      <c r="BO59" t="s">
        <v>171</v>
      </c>
      <c r="BP59" t="s">
        <v>74</v>
      </c>
      <c r="BQ59" t="s">
        <v>74</v>
      </c>
      <c r="BR59" t="s">
        <v>91</v>
      </c>
      <c r="BS59" t="s">
        <v>950</v>
      </c>
      <c r="BT59" t="str">
        <f>HYPERLINK("https%3A%2F%2Fwww.webofscience.com%2Fwos%2Fwoscc%2Ffull-record%2FWOS:000172713800015","View Full Record in Web of Science")</f>
        <v>View Full Record in Web of Science</v>
      </c>
    </row>
    <row r="60" spans="1:72" x14ac:dyDescent="0.15">
      <c r="A60" t="s">
        <v>72</v>
      </c>
      <c r="B60" t="s">
        <v>951</v>
      </c>
      <c r="C60" t="s">
        <v>74</v>
      </c>
      <c r="D60" t="s">
        <v>74</v>
      </c>
      <c r="E60" t="s">
        <v>74</v>
      </c>
      <c r="F60" t="s">
        <v>951</v>
      </c>
      <c r="G60" t="s">
        <v>74</v>
      </c>
      <c r="H60" t="s">
        <v>74</v>
      </c>
      <c r="I60" t="s">
        <v>952</v>
      </c>
      <c r="J60" t="s">
        <v>953</v>
      </c>
      <c r="K60" t="s">
        <v>74</v>
      </c>
      <c r="L60" t="s">
        <v>74</v>
      </c>
      <c r="M60" t="s">
        <v>77</v>
      </c>
      <c r="N60" t="s">
        <v>120</v>
      </c>
      <c r="O60" t="s">
        <v>74</v>
      </c>
      <c r="P60" t="s">
        <v>74</v>
      </c>
      <c r="Q60" t="s">
        <v>74</v>
      </c>
      <c r="R60" t="s">
        <v>74</v>
      </c>
      <c r="S60" t="s">
        <v>74</v>
      </c>
      <c r="T60" t="s">
        <v>954</v>
      </c>
      <c r="U60" t="s">
        <v>955</v>
      </c>
      <c r="V60" t="s">
        <v>956</v>
      </c>
      <c r="W60" t="s">
        <v>957</v>
      </c>
      <c r="X60" t="s">
        <v>958</v>
      </c>
      <c r="Y60" t="s">
        <v>959</v>
      </c>
      <c r="Z60" t="s">
        <v>74</v>
      </c>
      <c r="AA60" t="s">
        <v>960</v>
      </c>
      <c r="AB60" t="s">
        <v>74</v>
      </c>
      <c r="AC60" t="s">
        <v>74</v>
      </c>
      <c r="AD60" t="s">
        <v>74</v>
      </c>
      <c r="AE60" t="s">
        <v>74</v>
      </c>
      <c r="AF60" t="s">
        <v>74</v>
      </c>
      <c r="AG60">
        <v>45</v>
      </c>
      <c r="AH60">
        <v>114</v>
      </c>
      <c r="AI60">
        <v>141</v>
      </c>
      <c r="AJ60">
        <v>0</v>
      </c>
      <c r="AK60">
        <v>50</v>
      </c>
      <c r="AL60" t="s">
        <v>79</v>
      </c>
      <c r="AM60" t="s">
        <v>80</v>
      </c>
      <c r="AN60" t="s">
        <v>81</v>
      </c>
      <c r="AO60" t="s">
        <v>961</v>
      </c>
      <c r="AP60" t="s">
        <v>74</v>
      </c>
      <c r="AQ60" t="s">
        <v>74</v>
      </c>
      <c r="AR60" t="s">
        <v>962</v>
      </c>
      <c r="AS60" t="s">
        <v>963</v>
      </c>
      <c r="AT60" t="s">
        <v>737</v>
      </c>
      <c r="AU60">
        <v>2001</v>
      </c>
      <c r="AV60">
        <v>35</v>
      </c>
      <c r="AW60">
        <v>31</v>
      </c>
      <c r="AX60" t="s">
        <v>74</v>
      </c>
      <c r="AY60" t="s">
        <v>74</v>
      </c>
      <c r="AZ60" t="s">
        <v>74</v>
      </c>
      <c r="BA60" t="s">
        <v>74</v>
      </c>
      <c r="BB60">
        <v>5255</v>
      </c>
      <c r="BC60">
        <v>5265</v>
      </c>
      <c r="BD60" t="s">
        <v>74</v>
      </c>
      <c r="BE60" t="s">
        <v>964</v>
      </c>
      <c r="BF60" t="str">
        <f>HYPERLINK("http://dx.doi.org/10.1016/S1352-2310(01)00345-4","http://dx.doi.org/10.1016/S1352-2310(01)00345-4")</f>
        <v>http://dx.doi.org/10.1016/S1352-2310(01)00345-4</v>
      </c>
      <c r="BG60" t="s">
        <v>74</v>
      </c>
      <c r="BH60" t="s">
        <v>74</v>
      </c>
      <c r="BI60">
        <v>11</v>
      </c>
      <c r="BJ60" t="s">
        <v>965</v>
      </c>
      <c r="BK60" t="s">
        <v>88</v>
      </c>
      <c r="BL60" t="s">
        <v>966</v>
      </c>
      <c r="BM60" t="s">
        <v>967</v>
      </c>
      <c r="BN60" t="s">
        <v>74</v>
      </c>
      <c r="BO60" t="s">
        <v>74</v>
      </c>
      <c r="BP60" t="s">
        <v>74</v>
      </c>
      <c r="BQ60" t="s">
        <v>74</v>
      </c>
      <c r="BR60" t="s">
        <v>91</v>
      </c>
      <c r="BS60" t="s">
        <v>968</v>
      </c>
      <c r="BT60" t="str">
        <f>HYPERLINK("https%3A%2F%2Fwww.webofscience.com%2Fwos%2Fwoscc%2Ffull-record%2FWOS:000171913300003","View Full Record in Web of Science")</f>
        <v>View Full Record in Web of Science</v>
      </c>
    </row>
    <row r="61" spans="1:72" x14ac:dyDescent="0.15">
      <c r="A61" t="s">
        <v>72</v>
      </c>
      <c r="B61" t="s">
        <v>969</v>
      </c>
      <c r="C61" t="s">
        <v>74</v>
      </c>
      <c r="D61" t="s">
        <v>74</v>
      </c>
      <c r="E61" t="s">
        <v>74</v>
      </c>
      <c r="F61" t="s">
        <v>969</v>
      </c>
      <c r="G61" t="s">
        <v>74</v>
      </c>
      <c r="H61" t="s">
        <v>74</v>
      </c>
      <c r="I61" t="s">
        <v>970</v>
      </c>
      <c r="J61" t="s">
        <v>953</v>
      </c>
      <c r="K61" t="s">
        <v>74</v>
      </c>
      <c r="L61" t="s">
        <v>74</v>
      </c>
      <c r="M61" t="s">
        <v>77</v>
      </c>
      <c r="N61" t="s">
        <v>120</v>
      </c>
      <c r="O61" t="s">
        <v>74</v>
      </c>
      <c r="P61" t="s">
        <v>74</v>
      </c>
      <c r="Q61" t="s">
        <v>74</v>
      </c>
      <c r="R61" t="s">
        <v>74</v>
      </c>
      <c r="S61" t="s">
        <v>74</v>
      </c>
      <c r="T61" t="s">
        <v>971</v>
      </c>
      <c r="U61" t="s">
        <v>972</v>
      </c>
      <c r="V61" t="s">
        <v>973</v>
      </c>
      <c r="W61" t="s">
        <v>974</v>
      </c>
      <c r="X61" t="s">
        <v>975</v>
      </c>
      <c r="Y61" t="s">
        <v>976</v>
      </c>
      <c r="Z61" t="s">
        <v>74</v>
      </c>
      <c r="AA61" t="s">
        <v>977</v>
      </c>
      <c r="AB61" t="s">
        <v>978</v>
      </c>
      <c r="AC61" t="s">
        <v>74</v>
      </c>
      <c r="AD61" t="s">
        <v>74</v>
      </c>
      <c r="AE61" t="s">
        <v>74</v>
      </c>
      <c r="AF61" t="s">
        <v>74</v>
      </c>
      <c r="AG61">
        <v>35</v>
      </c>
      <c r="AH61">
        <v>27</v>
      </c>
      <c r="AI61">
        <v>30</v>
      </c>
      <c r="AJ61">
        <v>0</v>
      </c>
      <c r="AK61">
        <v>18</v>
      </c>
      <c r="AL61" t="s">
        <v>79</v>
      </c>
      <c r="AM61" t="s">
        <v>80</v>
      </c>
      <c r="AN61" t="s">
        <v>81</v>
      </c>
      <c r="AO61" t="s">
        <v>961</v>
      </c>
      <c r="AP61" t="s">
        <v>74</v>
      </c>
      <c r="AQ61" t="s">
        <v>74</v>
      </c>
      <c r="AR61" t="s">
        <v>962</v>
      </c>
      <c r="AS61" t="s">
        <v>963</v>
      </c>
      <c r="AT61" t="s">
        <v>737</v>
      </c>
      <c r="AU61">
        <v>2001</v>
      </c>
      <c r="AV61">
        <v>35</v>
      </c>
      <c r="AW61">
        <v>33</v>
      </c>
      <c r="AX61" t="s">
        <v>74</v>
      </c>
      <c r="AY61" t="s">
        <v>74</v>
      </c>
      <c r="AZ61" t="s">
        <v>74</v>
      </c>
      <c r="BA61" t="s">
        <v>74</v>
      </c>
      <c r="BB61">
        <v>5809</v>
      </c>
      <c r="BC61">
        <v>5815</v>
      </c>
      <c r="BD61" t="s">
        <v>74</v>
      </c>
      <c r="BE61" t="s">
        <v>979</v>
      </c>
      <c r="BF61" t="str">
        <f>HYPERLINK("http://dx.doi.org/10.1016/S1352-2310(01)00347-8","http://dx.doi.org/10.1016/S1352-2310(01)00347-8")</f>
        <v>http://dx.doi.org/10.1016/S1352-2310(01)00347-8</v>
      </c>
      <c r="BG61" t="s">
        <v>74</v>
      </c>
      <c r="BH61" t="s">
        <v>74</v>
      </c>
      <c r="BI61">
        <v>7</v>
      </c>
      <c r="BJ61" t="s">
        <v>965</v>
      </c>
      <c r="BK61" t="s">
        <v>88</v>
      </c>
      <c r="BL61" t="s">
        <v>966</v>
      </c>
      <c r="BM61" t="s">
        <v>980</v>
      </c>
      <c r="BN61" t="s">
        <v>74</v>
      </c>
      <c r="BO61" t="s">
        <v>74</v>
      </c>
      <c r="BP61" t="s">
        <v>74</v>
      </c>
      <c r="BQ61" t="s">
        <v>74</v>
      </c>
      <c r="BR61" t="s">
        <v>91</v>
      </c>
      <c r="BS61" t="s">
        <v>981</v>
      </c>
      <c r="BT61" t="str">
        <f>HYPERLINK("https%3A%2F%2Fwww.webofscience.com%2Fwos%2Fwoscc%2Ffull-record%2FWOS:000172354900012","View Full Record in Web of Science")</f>
        <v>View Full Record in Web of Science</v>
      </c>
    </row>
    <row r="62" spans="1:72" x14ac:dyDescent="0.15">
      <c r="A62" t="s">
        <v>72</v>
      </c>
      <c r="B62" t="s">
        <v>982</v>
      </c>
      <c r="C62" t="s">
        <v>74</v>
      </c>
      <c r="D62" t="s">
        <v>74</v>
      </c>
      <c r="E62" t="s">
        <v>74</v>
      </c>
      <c r="F62" t="s">
        <v>982</v>
      </c>
      <c r="G62" t="s">
        <v>74</v>
      </c>
      <c r="H62" t="s">
        <v>74</v>
      </c>
      <c r="I62" t="s">
        <v>983</v>
      </c>
      <c r="J62" t="s">
        <v>984</v>
      </c>
      <c r="K62" t="s">
        <v>74</v>
      </c>
      <c r="L62" t="s">
        <v>74</v>
      </c>
      <c r="M62" t="s">
        <v>77</v>
      </c>
      <c r="N62" t="s">
        <v>120</v>
      </c>
      <c r="O62" t="s">
        <v>74</v>
      </c>
      <c r="P62" t="s">
        <v>74</v>
      </c>
      <c r="Q62" t="s">
        <v>74</v>
      </c>
      <c r="R62" t="s">
        <v>74</v>
      </c>
      <c r="S62" t="s">
        <v>74</v>
      </c>
      <c r="T62" t="s">
        <v>985</v>
      </c>
      <c r="U62" t="s">
        <v>986</v>
      </c>
      <c r="V62" t="s">
        <v>987</v>
      </c>
      <c r="W62" t="s">
        <v>988</v>
      </c>
      <c r="X62" t="s">
        <v>989</v>
      </c>
      <c r="Y62" t="s">
        <v>990</v>
      </c>
      <c r="Z62" t="s">
        <v>74</v>
      </c>
      <c r="AA62" t="s">
        <v>991</v>
      </c>
      <c r="AB62" t="s">
        <v>992</v>
      </c>
      <c r="AC62" t="s">
        <v>74</v>
      </c>
      <c r="AD62" t="s">
        <v>74</v>
      </c>
      <c r="AE62" t="s">
        <v>74</v>
      </c>
      <c r="AF62" t="s">
        <v>74</v>
      </c>
      <c r="AG62">
        <v>30</v>
      </c>
      <c r="AH62">
        <v>44</v>
      </c>
      <c r="AI62">
        <v>49</v>
      </c>
      <c r="AJ62">
        <v>1</v>
      </c>
      <c r="AK62">
        <v>20</v>
      </c>
      <c r="AL62" t="s">
        <v>993</v>
      </c>
      <c r="AM62" t="s">
        <v>994</v>
      </c>
      <c r="AN62" t="s">
        <v>995</v>
      </c>
      <c r="AO62" t="s">
        <v>996</v>
      </c>
      <c r="AP62" t="s">
        <v>74</v>
      </c>
      <c r="AQ62" t="s">
        <v>74</v>
      </c>
      <c r="AR62" t="s">
        <v>984</v>
      </c>
      <c r="AS62" t="s">
        <v>997</v>
      </c>
      <c r="AT62" t="s">
        <v>737</v>
      </c>
      <c r="AU62">
        <v>2001</v>
      </c>
      <c r="AV62">
        <v>103</v>
      </c>
      <c r="AW62">
        <v>4</v>
      </c>
      <c r="AX62" t="s">
        <v>74</v>
      </c>
      <c r="AY62" t="s">
        <v>74</v>
      </c>
      <c r="AZ62" t="s">
        <v>74</v>
      </c>
      <c r="BA62" t="s">
        <v>74</v>
      </c>
      <c r="BB62">
        <v>802</v>
      </c>
      <c r="BC62">
        <v>809</v>
      </c>
      <c r="BD62" t="s">
        <v>74</v>
      </c>
      <c r="BE62" t="s">
        <v>998</v>
      </c>
      <c r="BF62" t="str">
        <f>HYPERLINK("http://dx.doi.org/10.1650/0010-5422(2001)103[0802:AVIGSD]2.0.CO;2","http://dx.doi.org/10.1650/0010-5422(2001)103[0802:AVIGSD]2.0.CO;2")</f>
        <v>http://dx.doi.org/10.1650/0010-5422(2001)103[0802:AVIGSD]2.0.CO;2</v>
      </c>
      <c r="BG62" t="s">
        <v>74</v>
      </c>
      <c r="BH62" t="s">
        <v>74</v>
      </c>
      <c r="BI62">
        <v>8</v>
      </c>
      <c r="BJ62" t="s">
        <v>999</v>
      </c>
      <c r="BK62" t="s">
        <v>88</v>
      </c>
      <c r="BL62" t="s">
        <v>408</v>
      </c>
      <c r="BM62" t="s">
        <v>1000</v>
      </c>
      <c r="BN62" t="s">
        <v>74</v>
      </c>
      <c r="BO62" t="s">
        <v>74</v>
      </c>
      <c r="BP62" t="s">
        <v>74</v>
      </c>
      <c r="BQ62" t="s">
        <v>74</v>
      </c>
      <c r="BR62" t="s">
        <v>91</v>
      </c>
      <c r="BS62" t="s">
        <v>1001</v>
      </c>
      <c r="BT62" t="str">
        <f>HYPERLINK("https%3A%2F%2Fwww.webofscience.com%2Fwos%2Fwoscc%2Ffull-record%2FWOS:000172135400014","View Full Record in Web of Science")</f>
        <v>View Full Record in Web of Science</v>
      </c>
    </row>
    <row r="63" spans="1:72" x14ac:dyDescent="0.15">
      <c r="A63" t="s">
        <v>72</v>
      </c>
      <c r="B63" t="s">
        <v>1002</v>
      </c>
      <c r="C63" t="s">
        <v>74</v>
      </c>
      <c r="D63" t="s">
        <v>74</v>
      </c>
      <c r="E63" t="s">
        <v>74</v>
      </c>
      <c r="F63" t="s">
        <v>1002</v>
      </c>
      <c r="G63" t="s">
        <v>74</v>
      </c>
      <c r="H63" t="s">
        <v>74</v>
      </c>
      <c r="I63" t="s">
        <v>1003</v>
      </c>
      <c r="J63" t="s">
        <v>1004</v>
      </c>
      <c r="K63" t="s">
        <v>74</v>
      </c>
      <c r="L63" t="s">
        <v>74</v>
      </c>
      <c r="M63" t="s">
        <v>77</v>
      </c>
      <c r="N63" t="s">
        <v>96</v>
      </c>
      <c r="O63" t="s">
        <v>74</v>
      </c>
      <c r="P63" t="s">
        <v>74</v>
      </c>
      <c r="Q63" t="s">
        <v>74</v>
      </c>
      <c r="R63" t="s">
        <v>74</v>
      </c>
      <c r="S63" t="s">
        <v>74</v>
      </c>
      <c r="T63" t="s">
        <v>74</v>
      </c>
      <c r="U63" t="s">
        <v>1005</v>
      </c>
      <c r="V63" t="s">
        <v>1006</v>
      </c>
      <c r="W63" t="s">
        <v>1007</v>
      </c>
      <c r="X63" t="s">
        <v>1008</v>
      </c>
      <c r="Y63" t="s">
        <v>527</v>
      </c>
      <c r="Z63" t="s">
        <v>1009</v>
      </c>
      <c r="AA63" t="s">
        <v>1010</v>
      </c>
      <c r="AB63" t="s">
        <v>1011</v>
      </c>
      <c r="AC63" t="s">
        <v>74</v>
      </c>
      <c r="AD63" t="s">
        <v>74</v>
      </c>
      <c r="AE63" t="s">
        <v>74</v>
      </c>
      <c r="AF63" t="s">
        <v>74</v>
      </c>
      <c r="AG63">
        <v>136</v>
      </c>
      <c r="AH63">
        <v>37</v>
      </c>
      <c r="AI63">
        <v>42</v>
      </c>
      <c r="AJ63">
        <v>0</v>
      </c>
      <c r="AK63">
        <v>11</v>
      </c>
      <c r="AL63" t="s">
        <v>104</v>
      </c>
      <c r="AM63" t="s">
        <v>105</v>
      </c>
      <c r="AN63" t="s">
        <v>106</v>
      </c>
      <c r="AO63" t="s">
        <v>1012</v>
      </c>
      <c r="AP63" t="s">
        <v>1013</v>
      </c>
      <c r="AQ63" t="s">
        <v>74</v>
      </c>
      <c r="AR63" t="s">
        <v>1014</v>
      </c>
      <c r="AS63" t="s">
        <v>1015</v>
      </c>
      <c r="AT63" t="s">
        <v>737</v>
      </c>
      <c r="AU63">
        <v>2001</v>
      </c>
      <c r="AV63">
        <v>16</v>
      </c>
      <c r="AW63">
        <v>2</v>
      </c>
      <c r="AX63" t="s">
        <v>74</v>
      </c>
      <c r="AY63" t="s">
        <v>74</v>
      </c>
      <c r="AZ63" t="s">
        <v>74</v>
      </c>
      <c r="BA63" t="s">
        <v>74</v>
      </c>
      <c r="BB63">
        <v>259</v>
      </c>
      <c r="BC63">
        <v>294</v>
      </c>
      <c r="BD63" t="s">
        <v>74</v>
      </c>
      <c r="BE63" t="s">
        <v>74</v>
      </c>
      <c r="BF63" t="s">
        <v>74</v>
      </c>
      <c r="BG63" t="s">
        <v>74</v>
      </c>
      <c r="BH63" t="s">
        <v>74</v>
      </c>
      <c r="BI63">
        <v>36</v>
      </c>
      <c r="BJ63" t="s">
        <v>323</v>
      </c>
      <c r="BK63" t="s">
        <v>88</v>
      </c>
      <c r="BL63" t="s">
        <v>323</v>
      </c>
      <c r="BM63" t="s">
        <v>1016</v>
      </c>
      <c r="BN63" t="s">
        <v>74</v>
      </c>
      <c r="BO63" t="s">
        <v>74</v>
      </c>
      <c r="BP63" t="s">
        <v>74</v>
      </c>
      <c r="BQ63" t="s">
        <v>74</v>
      </c>
      <c r="BR63" t="s">
        <v>91</v>
      </c>
      <c r="BS63" t="s">
        <v>1017</v>
      </c>
      <c r="BT63" t="str">
        <f>HYPERLINK("https%3A%2F%2Fwww.webofscience.com%2Fwos%2Fwoscc%2Ffull-record%2FWOS:000171943300001","View Full Record in Web of Science")</f>
        <v>View Full Record in Web of Science</v>
      </c>
    </row>
    <row r="64" spans="1:72" x14ac:dyDescent="0.15">
      <c r="A64" t="s">
        <v>72</v>
      </c>
      <c r="B64" t="s">
        <v>1018</v>
      </c>
      <c r="C64" t="s">
        <v>74</v>
      </c>
      <c r="D64" t="s">
        <v>74</v>
      </c>
      <c r="E64" t="s">
        <v>74</v>
      </c>
      <c r="F64" t="s">
        <v>1018</v>
      </c>
      <c r="G64" t="s">
        <v>74</v>
      </c>
      <c r="H64" t="s">
        <v>74</v>
      </c>
      <c r="I64" t="s">
        <v>1019</v>
      </c>
      <c r="J64" t="s">
        <v>1020</v>
      </c>
      <c r="K64" t="s">
        <v>74</v>
      </c>
      <c r="L64" t="s">
        <v>74</v>
      </c>
      <c r="M64" t="s">
        <v>77</v>
      </c>
      <c r="N64" t="s">
        <v>120</v>
      </c>
      <c r="O64" t="s">
        <v>74</v>
      </c>
      <c r="P64" t="s">
        <v>74</v>
      </c>
      <c r="Q64" t="s">
        <v>74</v>
      </c>
      <c r="R64" t="s">
        <v>74</v>
      </c>
      <c r="S64" t="s">
        <v>74</v>
      </c>
      <c r="T64" t="s">
        <v>1021</v>
      </c>
      <c r="U64" t="s">
        <v>1022</v>
      </c>
      <c r="V64" t="s">
        <v>1023</v>
      </c>
      <c r="W64" t="s">
        <v>1024</v>
      </c>
      <c r="X64" t="s">
        <v>1025</v>
      </c>
      <c r="Y64" t="s">
        <v>1026</v>
      </c>
      <c r="Z64" t="s">
        <v>1027</v>
      </c>
      <c r="AA64" t="s">
        <v>1028</v>
      </c>
      <c r="AB64" t="s">
        <v>1029</v>
      </c>
      <c r="AC64" t="s">
        <v>74</v>
      </c>
      <c r="AD64" t="s">
        <v>74</v>
      </c>
      <c r="AE64" t="s">
        <v>74</v>
      </c>
      <c r="AF64" t="s">
        <v>74</v>
      </c>
      <c r="AG64">
        <v>72</v>
      </c>
      <c r="AH64">
        <v>65</v>
      </c>
      <c r="AI64">
        <v>72</v>
      </c>
      <c r="AJ64">
        <v>0</v>
      </c>
      <c r="AK64">
        <v>13</v>
      </c>
      <c r="AL64" t="s">
        <v>104</v>
      </c>
      <c r="AM64" t="s">
        <v>105</v>
      </c>
      <c r="AN64" t="s">
        <v>106</v>
      </c>
      <c r="AO64" t="s">
        <v>1030</v>
      </c>
      <c r="AP64" t="s">
        <v>1031</v>
      </c>
      <c r="AQ64" t="s">
        <v>74</v>
      </c>
      <c r="AR64" t="s">
        <v>1032</v>
      </c>
      <c r="AS64" t="s">
        <v>1033</v>
      </c>
      <c r="AT64" t="s">
        <v>737</v>
      </c>
      <c r="AU64">
        <v>2001</v>
      </c>
      <c r="AV64">
        <v>36</v>
      </c>
      <c r="AW64">
        <v>4</v>
      </c>
      <c r="AX64" t="s">
        <v>74</v>
      </c>
      <c r="AY64" t="s">
        <v>74</v>
      </c>
      <c r="AZ64" t="s">
        <v>74</v>
      </c>
      <c r="BA64" t="s">
        <v>74</v>
      </c>
      <c r="BB64">
        <v>321</v>
      </c>
      <c r="BC64">
        <v>340</v>
      </c>
      <c r="BD64" t="s">
        <v>74</v>
      </c>
      <c r="BE64" t="s">
        <v>1034</v>
      </c>
      <c r="BF64" t="str">
        <f>HYPERLINK("http://dx.doi.org/10.1080/09670260110001735478","http://dx.doi.org/10.1080/09670260110001735478")</f>
        <v>http://dx.doi.org/10.1080/09670260110001735478</v>
      </c>
      <c r="BG64" t="s">
        <v>74</v>
      </c>
      <c r="BH64" t="s">
        <v>74</v>
      </c>
      <c r="BI64">
        <v>20</v>
      </c>
      <c r="BJ64" t="s">
        <v>1035</v>
      </c>
      <c r="BK64" t="s">
        <v>88</v>
      </c>
      <c r="BL64" t="s">
        <v>1035</v>
      </c>
      <c r="BM64" t="s">
        <v>1036</v>
      </c>
      <c r="BN64" t="s">
        <v>74</v>
      </c>
      <c r="BO64" t="s">
        <v>74</v>
      </c>
      <c r="BP64" t="s">
        <v>74</v>
      </c>
      <c r="BQ64" t="s">
        <v>74</v>
      </c>
      <c r="BR64" t="s">
        <v>91</v>
      </c>
      <c r="BS64" t="s">
        <v>1037</v>
      </c>
      <c r="BT64" t="str">
        <f>HYPERLINK("https%3A%2F%2Fwww.webofscience.com%2Fwos%2Fwoscc%2Ffull-record%2FWOS:000172456300004","View Full Record in Web of Science")</f>
        <v>View Full Record in Web of Science</v>
      </c>
    </row>
    <row r="65" spans="1:72" x14ac:dyDescent="0.15">
      <c r="A65" t="s">
        <v>72</v>
      </c>
      <c r="B65" t="s">
        <v>1038</v>
      </c>
      <c r="C65" t="s">
        <v>74</v>
      </c>
      <c r="D65" t="s">
        <v>74</v>
      </c>
      <c r="E65" t="s">
        <v>74</v>
      </c>
      <c r="F65" t="s">
        <v>1038</v>
      </c>
      <c r="G65" t="s">
        <v>74</v>
      </c>
      <c r="H65" t="s">
        <v>74</v>
      </c>
      <c r="I65" t="s">
        <v>1039</v>
      </c>
      <c r="J65" t="s">
        <v>1040</v>
      </c>
      <c r="K65" t="s">
        <v>74</v>
      </c>
      <c r="L65" t="s">
        <v>74</v>
      </c>
      <c r="M65" t="s">
        <v>77</v>
      </c>
      <c r="N65" t="s">
        <v>120</v>
      </c>
      <c r="O65" t="s">
        <v>74</v>
      </c>
      <c r="P65" t="s">
        <v>74</v>
      </c>
      <c r="Q65" t="s">
        <v>74</v>
      </c>
      <c r="R65" t="s">
        <v>74</v>
      </c>
      <c r="S65" t="s">
        <v>74</v>
      </c>
      <c r="T65" t="s">
        <v>1041</v>
      </c>
      <c r="U65" t="s">
        <v>1042</v>
      </c>
      <c r="V65" t="s">
        <v>1043</v>
      </c>
      <c r="W65" t="s">
        <v>1044</v>
      </c>
      <c r="X65" t="s">
        <v>74</v>
      </c>
      <c r="Y65" t="s">
        <v>1045</v>
      </c>
      <c r="Z65" t="s">
        <v>74</v>
      </c>
      <c r="AA65" t="s">
        <v>74</v>
      </c>
      <c r="AB65" t="s">
        <v>74</v>
      </c>
      <c r="AC65" t="s">
        <v>74</v>
      </c>
      <c r="AD65" t="s">
        <v>74</v>
      </c>
      <c r="AE65" t="s">
        <v>74</v>
      </c>
      <c r="AF65" t="s">
        <v>74</v>
      </c>
      <c r="AG65">
        <v>48</v>
      </c>
      <c r="AH65">
        <v>135</v>
      </c>
      <c r="AI65">
        <v>146</v>
      </c>
      <c r="AJ65">
        <v>3</v>
      </c>
      <c r="AK65">
        <v>35</v>
      </c>
      <c r="AL65" t="s">
        <v>488</v>
      </c>
      <c r="AM65" t="s">
        <v>350</v>
      </c>
      <c r="AN65" t="s">
        <v>489</v>
      </c>
      <c r="AO65" t="s">
        <v>1046</v>
      </c>
      <c r="AP65" t="s">
        <v>74</v>
      </c>
      <c r="AQ65" t="s">
        <v>74</v>
      </c>
      <c r="AR65" t="s">
        <v>1040</v>
      </c>
      <c r="AS65" t="s">
        <v>1047</v>
      </c>
      <c r="AT65" t="s">
        <v>737</v>
      </c>
      <c r="AU65">
        <v>2001</v>
      </c>
      <c r="AV65">
        <v>41</v>
      </c>
      <c r="AW65">
        <v>1</v>
      </c>
      <c r="AX65" t="s">
        <v>74</v>
      </c>
      <c r="AY65" t="s">
        <v>74</v>
      </c>
      <c r="AZ65" t="s">
        <v>74</v>
      </c>
      <c r="BA65" t="s">
        <v>74</v>
      </c>
      <c r="BB65">
        <v>23</v>
      </c>
      <c r="BC65">
        <v>35</v>
      </c>
      <c r="BD65" t="s">
        <v>74</v>
      </c>
      <c r="BE65" t="s">
        <v>1048</v>
      </c>
      <c r="BF65" t="str">
        <f>HYPERLINK("http://dx.doi.org/10.1016/S0169-555X(01)00101-5","http://dx.doi.org/10.1016/S0169-555X(01)00101-5")</f>
        <v>http://dx.doi.org/10.1016/S0169-555X(01)00101-5</v>
      </c>
      <c r="BG65" t="s">
        <v>74</v>
      </c>
      <c r="BH65" t="s">
        <v>74</v>
      </c>
      <c r="BI65">
        <v>13</v>
      </c>
      <c r="BJ65" t="s">
        <v>1049</v>
      </c>
      <c r="BK65" t="s">
        <v>88</v>
      </c>
      <c r="BL65" t="s">
        <v>1050</v>
      </c>
      <c r="BM65" t="s">
        <v>1051</v>
      </c>
      <c r="BN65" t="s">
        <v>74</v>
      </c>
      <c r="BO65" t="s">
        <v>74</v>
      </c>
      <c r="BP65" t="s">
        <v>74</v>
      </c>
      <c r="BQ65" t="s">
        <v>74</v>
      </c>
      <c r="BR65" t="s">
        <v>91</v>
      </c>
      <c r="BS65" t="s">
        <v>1052</v>
      </c>
      <c r="BT65" t="str">
        <f>HYPERLINK("https%3A%2F%2Fwww.webofscience.com%2Fwos%2Fwoscc%2Ffull-record%2FWOS:000171890400003","View Full Record in Web of Science")</f>
        <v>View Full Record in Web of Science</v>
      </c>
    </row>
    <row r="66" spans="1:72" x14ac:dyDescent="0.15">
      <c r="A66" t="s">
        <v>72</v>
      </c>
      <c r="B66" t="s">
        <v>1053</v>
      </c>
      <c r="C66" t="s">
        <v>74</v>
      </c>
      <c r="D66" t="s">
        <v>74</v>
      </c>
      <c r="E66" t="s">
        <v>74</v>
      </c>
      <c r="F66" t="s">
        <v>1053</v>
      </c>
      <c r="G66" t="s">
        <v>74</v>
      </c>
      <c r="H66" t="s">
        <v>74</v>
      </c>
      <c r="I66" t="s">
        <v>1054</v>
      </c>
      <c r="J66" t="s">
        <v>1055</v>
      </c>
      <c r="K66" t="s">
        <v>74</v>
      </c>
      <c r="L66" t="s">
        <v>74</v>
      </c>
      <c r="M66" t="s">
        <v>77</v>
      </c>
      <c r="N66" t="s">
        <v>120</v>
      </c>
      <c r="O66" t="s">
        <v>74</v>
      </c>
      <c r="P66" t="s">
        <v>74</v>
      </c>
      <c r="Q66" t="s">
        <v>74</v>
      </c>
      <c r="R66" t="s">
        <v>74</v>
      </c>
      <c r="S66" t="s">
        <v>74</v>
      </c>
      <c r="T66" t="s">
        <v>1056</v>
      </c>
      <c r="U66" t="s">
        <v>1057</v>
      </c>
      <c r="V66" t="s">
        <v>1058</v>
      </c>
      <c r="W66" t="s">
        <v>1059</v>
      </c>
      <c r="X66" t="s">
        <v>1060</v>
      </c>
      <c r="Y66" t="s">
        <v>1061</v>
      </c>
      <c r="Z66" t="s">
        <v>1062</v>
      </c>
      <c r="AA66" t="s">
        <v>74</v>
      </c>
      <c r="AB66" t="s">
        <v>74</v>
      </c>
      <c r="AC66" t="s">
        <v>74</v>
      </c>
      <c r="AD66" t="s">
        <v>74</v>
      </c>
      <c r="AE66" t="s">
        <v>74</v>
      </c>
      <c r="AF66" t="s">
        <v>74</v>
      </c>
      <c r="AG66">
        <v>58</v>
      </c>
      <c r="AH66">
        <v>85</v>
      </c>
      <c r="AI66">
        <v>93</v>
      </c>
      <c r="AJ66">
        <v>0</v>
      </c>
      <c r="AK66">
        <v>19</v>
      </c>
      <c r="AL66" t="s">
        <v>273</v>
      </c>
      <c r="AM66" t="s">
        <v>80</v>
      </c>
      <c r="AN66" t="s">
        <v>274</v>
      </c>
      <c r="AO66" t="s">
        <v>1063</v>
      </c>
      <c r="AP66" t="s">
        <v>1064</v>
      </c>
      <c r="AQ66" t="s">
        <v>74</v>
      </c>
      <c r="AR66" t="s">
        <v>1065</v>
      </c>
      <c r="AS66" t="s">
        <v>1066</v>
      </c>
      <c r="AT66" t="s">
        <v>737</v>
      </c>
      <c r="AU66">
        <v>2001</v>
      </c>
      <c r="AV66">
        <v>147</v>
      </c>
      <c r="AW66">
        <v>2</v>
      </c>
      <c r="AX66" t="s">
        <v>74</v>
      </c>
      <c r="AY66" t="s">
        <v>74</v>
      </c>
      <c r="AZ66" t="s">
        <v>74</v>
      </c>
      <c r="BA66" t="s">
        <v>74</v>
      </c>
      <c r="BB66">
        <v>272</v>
      </c>
      <c r="BC66">
        <v>293</v>
      </c>
      <c r="BD66" t="s">
        <v>74</v>
      </c>
      <c r="BE66" t="s">
        <v>1067</v>
      </c>
      <c r="BF66" t="str">
        <f>HYPERLINK("http://dx.doi.org/10.1046/j.1365-246X.2001.00522.x","http://dx.doi.org/10.1046/j.1365-246X.2001.00522.x")</f>
        <v>http://dx.doi.org/10.1046/j.1365-246X.2001.00522.x</v>
      </c>
      <c r="BG66" t="s">
        <v>74</v>
      </c>
      <c r="BH66" t="s">
        <v>74</v>
      </c>
      <c r="BI66">
        <v>22</v>
      </c>
      <c r="BJ66" t="s">
        <v>388</v>
      </c>
      <c r="BK66" t="s">
        <v>88</v>
      </c>
      <c r="BL66" t="s">
        <v>388</v>
      </c>
      <c r="BM66" t="s">
        <v>1068</v>
      </c>
      <c r="BN66" t="s">
        <v>74</v>
      </c>
      <c r="BO66" t="s">
        <v>171</v>
      </c>
      <c r="BP66" t="s">
        <v>74</v>
      </c>
      <c r="BQ66" t="s">
        <v>74</v>
      </c>
      <c r="BR66" t="s">
        <v>91</v>
      </c>
      <c r="BS66" t="s">
        <v>1069</v>
      </c>
      <c r="BT66" t="str">
        <f>HYPERLINK("https%3A%2F%2Fwww.webofscience.com%2Fwos%2Fwoscc%2Ffull-record%2FWOS:000172099200004","View Full Record in Web of Science")</f>
        <v>View Full Record in Web of Science</v>
      </c>
    </row>
    <row r="67" spans="1:72" x14ac:dyDescent="0.15">
      <c r="A67" t="s">
        <v>72</v>
      </c>
      <c r="B67" t="s">
        <v>1070</v>
      </c>
      <c r="C67" t="s">
        <v>74</v>
      </c>
      <c r="D67" t="s">
        <v>74</v>
      </c>
      <c r="E67" t="s">
        <v>74</v>
      </c>
      <c r="F67" t="s">
        <v>1070</v>
      </c>
      <c r="G67" t="s">
        <v>74</v>
      </c>
      <c r="H67" t="s">
        <v>74</v>
      </c>
      <c r="I67" t="s">
        <v>1071</v>
      </c>
      <c r="J67" t="s">
        <v>1055</v>
      </c>
      <c r="K67" t="s">
        <v>74</v>
      </c>
      <c r="L67" t="s">
        <v>74</v>
      </c>
      <c r="M67" t="s">
        <v>77</v>
      </c>
      <c r="N67" t="s">
        <v>120</v>
      </c>
      <c r="O67" t="s">
        <v>74</v>
      </c>
      <c r="P67" t="s">
        <v>74</v>
      </c>
      <c r="Q67" t="s">
        <v>74</v>
      </c>
      <c r="R67" t="s">
        <v>74</v>
      </c>
      <c r="S67" t="s">
        <v>74</v>
      </c>
      <c r="T67" t="s">
        <v>1072</v>
      </c>
      <c r="U67" t="s">
        <v>1073</v>
      </c>
      <c r="V67" t="s">
        <v>1074</v>
      </c>
      <c r="W67" t="s">
        <v>1075</v>
      </c>
      <c r="X67" t="s">
        <v>1076</v>
      </c>
      <c r="Y67" t="s">
        <v>1077</v>
      </c>
      <c r="Z67" t="s">
        <v>74</v>
      </c>
      <c r="AA67" t="s">
        <v>1078</v>
      </c>
      <c r="AB67" t="s">
        <v>1079</v>
      </c>
      <c r="AC67" t="s">
        <v>74</v>
      </c>
      <c r="AD67" t="s">
        <v>74</v>
      </c>
      <c r="AE67" t="s">
        <v>74</v>
      </c>
      <c r="AF67" t="s">
        <v>74</v>
      </c>
      <c r="AG67">
        <v>35</v>
      </c>
      <c r="AH67">
        <v>57</v>
      </c>
      <c r="AI67">
        <v>62</v>
      </c>
      <c r="AJ67">
        <v>1</v>
      </c>
      <c r="AK67">
        <v>9</v>
      </c>
      <c r="AL67" t="s">
        <v>1080</v>
      </c>
      <c r="AM67" t="s">
        <v>80</v>
      </c>
      <c r="AN67" t="s">
        <v>1081</v>
      </c>
      <c r="AO67" t="s">
        <v>1063</v>
      </c>
      <c r="AP67" t="s">
        <v>74</v>
      </c>
      <c r="AQ67" t="s">
        <v>74</v>
      </c>
      <c r="AR67" t="s">
        <v>1065</v>
      </c>
      <c r="AS67" t="s">
        <v>1066</v>
      </c>
      <c r="AT67" t="s">
        <v>737</v>
      </c>
      <c r="AU67">
        <v>2001</v>
      </c>
      <c r="AV67">
        <v>147</v>
      </c>
      <c r="AW67">
        <v>2</v>
      </c>
      <c r="AX67" t="s">
        <v>74</v>
      </c>
      <c r="AY67" t="s">
        <v>74</v>
      </c>
      <c r="AZ67" t="s">
        <v>74</v>
      </c>
      <c r="BA67" t="s">
        <v>74</v>
      </c>
      <c r="BB67">
        <v>330</v>
      </c>
      <c r="BC67">
        <v>342</v>
      </c>
      <c r="BD67" t="s">
        <v>74</v>
      </c>
      <c r="BE67" t="s">
        <v>1082</v>
      </c>
      <c r="BF67" t="str">
        <f>HYPERLINK("http://dx.doi.org/10.1046/j.1365-246X.2001.00533.x","http://dx.doi.org/10.1046/j.1365-246X.2001.00533.x")</f>
        <v>http://dx.doi.org/10.1046/j.1365-246X.2001.00533.x</v>
      </c>
      <c r="BG67" t="s">
        <v>74</v>
      </c>
      <c r="BH67" t="s">
        <v>74</v>
      </c>
      <c r="BI67">
        <v>13</v>
      </c>
      <c r="BJ67" t="s">
        <v>388</v>
      </c>
      <c r="BK67" t="s">
        <v>88</v>
      </c>
      <c r="BL67" t="s">
        <v>388</v>
      </c>
      <c r="BM67" t="s">
        <v>1068</v>
      </c>
      <c r="BN67" t="s">
        <v>74</v>
      </c>
      <c r="BO67" t="s">
        <v>171</v>
      </c>
      <c r="BP67" t="s">
        <v>74</v>
      </c>
      <c r="BQ67" t="s">
        <v>74</v>
      </c>
      <c r="BR67" t="s">
        <v>91</v>
      </c>
      <c r="BS67" t="s">
        <v>1083</v>
      </c>
      <c r="BT67" t="str">
        <f>HYPERLINK("https%3A%2F%2Fwww.webofscience.com%2Fwos%2Fwoscc%2Ffull-record%2FWOS:000172099200008","View Full Record in Web of Science")</f>
        <v>View Full Record in Web of Science</v>
      </c>
    </row>
    <row r="68" spans="1:72" x14ac:dyDescent="0.15">
      <c r="A68" t="s">
        <v>72</v>
      </c>
      <c r="B68" t="s">
        <v>1084</v>
      </c>
      <c r="C68" t="s">
        <v>74</v>
      </c>
      <c r="D68" t="s">
        <v>74</v>
      </c>
      <c r="E68" t="s">
        <v>74</v>
      </c>
      <c r="F68" t="s">
        <v>1084</v>
      </c>
      <c r="G68" t="s">
        <v>74</v>
      </c>
      <c r="H68" t="s">
        <v>74</v>
      </c>
      <c r="I68" t="s">
        <v>1085</v>
      </c>
      <c r="J68" t="s">
        <v>613</v>
      </c>
      <c r="K68" t="s">
        <v>74</v>
      </c>
      <c r="L68" t="s">
        <v>74</v>
      </c>
      <c r="M68" t="s">
        <v>77</v>
      </c>
      <c r="N68" t="s">
        <v>120</v>
      </c>
      <c r="O68" t="s">
        <v>74</v>
      </c>
      <c r="P68" t="s">
        <v>74</v>
      </c>
      <c r="Q68" t="s">
        <v>74</v>
      </c>
      <c r="R68" t="s">
        <v>74</v>
      </c>
      <c r="S68" t="s">
        <v>74</v>
      </c>
      <c r="T68" t="s">
        <v>74</v>
      </c>
      <c r="U68" t="s">
        <v>1086</v>
      </c>
      <c r="V68" t="s">
        <v>1087</v>
      </c>
      <c r="W68" t="s">
        <v>1088</v>
      </c>
      <c r="X68" t="s">
        <v>1089</v>
      </c>
      <c r="Y68" t="s">
        <v>1090</v>
      </c>
      <c r="Z68" t="s">
        <v>1091</v>
      </c>
      <c r="AA68" t="s">
        <v>1092</v>
      </c>
      <c r="AB68" t="s">
        <v>1093</v>
      </c>
      <c r="AC68" t="s">
        <v>74</v>
      </c>
      <c r="AD68" t="s">
        <v>74</v>
      </c>
      <c r="AE68" t="s">
        <v>74</v>
      </c>
      <c r="AF68" t="s">
        <v>74</v>
      </c>
      <c r="AG68">
        <v>30</v>
      </c>
      <c r="AH68">
        <v>28</v>
      </c>
      <c r="AI68">
        <v>28</v>
      </c>
      <c r="AJ68">
        <v>0</v>
      </c>
      <c r="AK68">
        <v>13</v>
      </c>
      <c r="AL68" t="s">
        <v>149</v>
      </c>
      <c r="AM68" t="s">
        <v>150</v>
      </c>
      <c r="AN68" t="s">
        <v>151</v>
      </c>
      <c r="AO68" t="s">
        <v>619</v>
      </c>
      <c r="AP68" t="s">
        <v>1094</v>
      </c>
      <c r="AQ68" t="s">
        <v>74</v>
      </c>
      <c r="AR68" t="s">
        <v>620</v>
      </c>
      <c r="AS68" t="s">
        <v>621</v>
      </c>
      <c r="AT68" t="s">
        <v>1095</v>
      </c>
      <c r="AU68">
        <v>2001</v>
      </c>
      <c r="AV68">
        <v>28</v>
      </c>
      <c r="AW68">
        <v>21</v>
      </c>
      <c r="AX68" t="s">
        <v>74</v>
      </c>
      <c r="AY68" t="s">
        <v>74</v>
      </c>
      <c r="AZ68" t="s">
        <v>74</v>
      </c>
      <c r="BA68" t="s">
        <v>74</v>
      </c>
      <c r="BB68">
        <v>4095</v>
      </c>
      <c r="BC68">
        <v>4098</v>
      </c>
      <c r="BD68" t="s">
        <v>74</v>
      </c>
      <c r="BE68" t="s">
        <v>1096</v>
      </c>
      <c r="BF68" t="str">
        <f>HYPERLINK("http://dx.doi.org/10.1029/2001GL013958","http://dx.doi.org/10.1029/2001GL013958")</f>
        <v>http://dx.doi.org/10.1029/2001GL013958</v>
      </c>
      <c r="BG68" t="s">
        <v>74</v>
      </c>
      <c r="BH68" t="s">
        <v>74</v>
      </c>
      <c r="BI68">
        <v>4</v>
      </c>
      <c r="BJ68" t="s">
        <v>300</v>
      </c>
      <c r="BK68" t="s">
        <v>88</v>
      </c>
      <c r="BL68" t="s">
        <v>113</v>
      </c>
      <c r="BM68" t="s">
        <v>1097</v>
      </c>
      <c r="BN68" t="s">
        <v>74</v>
      </c>
      <c r="BO68" t="s">
        <v>171</v>
      </c>
      <c r="BP68" t="s">
        <v>74</v>
      </c>
      <c r="BQ68" t="s">
        <v>74</v>
      </c>
      <c r="BR68" t="s">
        <v>91</v>
      </c>
      <c r="BS68" t="s">
        <v>1098</v>
      </c>
      <c r="BT68" t="str">
        <f>HYPERLINK("https%3A%2F%2Fwww.webofscience.com%2Fwos%2Fwoscc%2Ffull-record%2FWOS:000171780000022","View Full Record in Web of Science")</f>
        <v>View Full Record in Web of Science</v>
      </c>
    </row>
    <row r="69" spans="1:72" x14ac:dyDescent="0.15">
      <c r="A69" t="s">
        <v>72</v>
      </c>
      <c r="B69" t="s">
        <v>1099</v>
      </c>
      <c r="C69" t="s">
        <v>74</v>
      </c>
      <c r="D69" t="s">
        <v>74</v>
      </c>
      <c r="E69" t="s">
        <v>74</v>
      </c>
      <c r="F69" t="s">
        <v>1099</v>
      </c>
      <c r="G69" t="s">
        <v>74</v>
      </c>
      <c r="H69" t="s">
        <v>74</v>
      </c>
      <c r="I69" t="s">
        <v>1100</v>
      </c>
      <c r="J69" t="s">
        <v>613</v>
      </c>
      <c r="K69" t="s">
        <v>74</v>
      </c>
      <c r="L69" t="s">
        <v>74</v>
      </c>
      <c r="M69" t="s">
        <v>77</v>
      </c>
      <c r="N69" t="s">
        <v>120</v>
      </c>
      <c r="O69" t="s">
        <v>74</v>
      </c>
      <c r="P69" t="s">
        <v>74</v>
      </c>
      <c r="Q69" t="s">
        <v>74</v>
      </c>
      <c r="R69" t="s">
        <v>74</v>
      </c>
      <c r="S69" t="s">
        <v>74</v>
      </c>
      <c r="T69" t="s">
        <v>74</v>
      </c>
      <c r="U69" t="s">
        <v>1101</v>
      </c>
      <c r="V69" t="s">
        <v>1102</v>
      </c>
      <c r="W69" t="s">
        <v>1103</v>
      </c>
      <c r="X69" t="s">
        <v>462</v>
      </c>
      <c r="Y69" t="s">
        <v>1104</v>
      </c>
      <c r="Z69" t="s">
        <v>74</v>
      </c>
      <c r="AA69" t="s">
        <v>74</v>
      </c>
      <c r="AB69" t="s">
        <v>74</v>
      </c>
      <c r="AC69" t="s">
        <v>74</v>
      </c>
      <c r="AD69" t="s">
        <v>74</v>
      </c>
      <c r="AE69" t="s">
        <v>74</v>
      </c>
      <c r="AF69" t="s">
        <v>74</v>
      </c>
      <c r="AG69">
        <v>7</v>
      </c>
      <c r="AH69">
        <v>52</v>
      </c>
      <c r="AI69">
        <v>54</v>
      </c>
      <c r="AJ69">
        <v>0</v>
      </c>
      <c r="AK69">
        <v>14</v>
      </c>
      <c r="AL69" t="s">
        <v>149</v>
      </c>
      <c r="AM69" t="s">
        <v>150</v>
      </c>
      <c r="AN69" t="s">
        <v>151</v>
      </c>
      <c r="AO69" t="s">
        <v>619</v>
      </c>
      <c r="AP69" t="s">
        <v>1094</v>
      </c>
      <c r="AQ69" t="s">
        <v>74</v>
      </c>
      <c r="AR69" t="s">
        <v>620</v>
      </c>
      <c r="AS69" t="s">
        <v>621</v>
      </c>
      <c r="AT69" t="s">
        <v>1095</v>
      </c>
      <c r="AU69">
        <v>2001</v>
      </c>
      <c r="AV69">
        <v>28</v>
      </c>
      <c r="AW69">
        <v>21</v>
      </c>
      <c r="AX69" t="s">
        <v>74</v>
      </c>
      <c r="AY69" t="s">
        <v>74</v>
      </c>
      <c r="AZ69" t="s">
        <v>74</v>
      </c>
      <c r="BA69" t="s">
        <v>74</v>
      </c>
      <c r="BB69">
        <v>4111</v>
      </c>
      <c r="BC69">
        <v>4114</v>
      </c>
      <c r="BD69" t="s">
        <v>74</v>
      </c>
      <c r="BE69" t="s">
        <v>1105</v>
      </c>
      <c r="BF69" t="str">
        <f>HYPERLINK("http://dx.doi.org/10.1029/2001GL013465","http://dx.doi.org/10.1029/2001GL013465")</f>
        <v>http://dx.doi.org/10.1029/2001GL013465</v>
      </c>
      <c r="BG69" t="s">
        <v>74</v>
      </c>
      <c r="BH69" t="s">
        <v>74</v>
      </c>
      <c r="BI69">
        <v>4</v>
      </c>
      <c r="BJ69" t="s">
        <v>300</v>
      </c>
      <c r="BK69" t="s">
        <v>88</v>
      </c>
      <c r="BL69" t="s">
        <v>113</v>
      </c>
      <c r="BM69" t="s">
        <v>1097</v>
      </c>
      <c r="BN69" t="s">
        <v>74</v>
      </c>
      <c r="BO69" t="s">
        <v>171</v>
      </c>
      <c r="BP69" t="s">
        <v>74</v>
      </c>
      <c r="BQ69" t="s">
        <v>74</v>
      </c>
      <c r="BR69" t="s">
        <v>91</v>
      </c>
      <c r="BS69" t="s">
        <v>1106</v>
      </c>
      <c r="BT69" t="str">
        <f>HYPERLINK("https%3A%2F%2Fwww.webofscience.com%2Fwos%2Fwoscc%2Ffull-record%2FWOS:000171780000026","View Full Record in Web of Science")</f>
        <v>View Full Record in Web of Science</v>
      </c>
    </row>
    <row r="70" spans="1:72" x14ac:dyDescent="0.15">
      <c r="A70" t="s">
        <v>72</v>
      </c>
      <c r="B70" t="s">
        <v>1107</v>
      </c>
      <c r="C70" t="s">
        <v>74</v>
      </c>
      <c r="D70" t="s">
        <v>74</v>
      </c>
      <c r="E70" t="s">
        <v>74</v>
      </c>
      <c r="F70" t="s">
        <v>1107</v>
      </c>
      <c r="G70" t="s">
        <v>74</v>
      </c>
      <c r="H70" t="s">
        <v>74</v>
      </c>
      <c r="I70" t="s">
        <v>1108</v>
      </c>
      <c r="J70" t="s">
        <v>613</v>
      </c>
      <c r="K70" t="s">
        <v>74</v>
      </c>
      <c r="L70" t="s">
        <v>74</v>
      </c>
      <c r="M70" t="s">
        <v>77</v>
      </c>
      <c r="N70" t="s">
        <v>120</v>
      </c>
      <c r="O70" t="s">
        <v>74</v>
      </c>
      <c r="P70" t="s">
        <v>74</v>
      </c>
      <c r="Q70" t="s">
        <v>74</v>
      </c>
      <c r="R70" t="s">
        <v>74</v>
      </c>
      <c r="S70" t="s">
        <v>74</v>
      </c>
      <c r="T70" t="s">
        <v>74</v>
      </c>
      <c r="U70" t="s">
        <v>1109</v>
      </c>
      <c r="V70" t="s">
        <v>1110</v>
      </c>
      <c r="W70" t="s">
        <v>1111</v>
      </c>
      <c r="X70" t="s">
        <v>1112</v>
      </c>
      <c r="Y70" t="s">
        <v>1113</v>
      </c>
      <c r="Z70" t="s">
        <v>1114</v>
      </c>
      <c r="AA70" t="s">
        <v>1115</v>
      </c>
      <c r="AB70" t="s">
        <v>1116</v>
      </c>
      <c r="AC70" t="s">
        <v>74</v>
      </c>
      <c r="AD70" t="s">
        <v>74</v>
      </c>
      <c r="AE70" t="s">
        <v>74</v>
      </c>
      <c r="AF70" t="s">
        <v>74</v>
      </c>
      <c r="AG70">
        <v>18</v>
      </c>
      <c r="AH70">
        <v>24</v>
      </c>
      <c r="AI70">
        <v>28</v>
      </c>
      <c r="AJ70">
        <v>1</v>
      </c>
      <c r="AK70">
        <v>4</v>
      </c>
      <c r="AL70" t="s">
        <v>149</v>
      </c>
      <c r="AM70" t="s">
        <v>150</v>
      </c>
      <c r="AN70" t="s">
        <v>151</v>
      </c>
      <c r="AO70" t="s">
        <v>619</v>
      </c>
      <c r="AP70" t="s">
        <v>1094</v>
      </c>
      <c r="AQ70" t="s">
        <v>74</v>
      </c>
      <c r="AR70" t="s">
        <v>620</v>
      </c>
      <c r="AS70" t="s">
        <v>621</v>
      </c>
      <c r="AT70" t="s">
        <v>1095</v>
      </c>
      <c r="AU70">
        <v>2001</v>
      </c>
      <c r="AV70">
        <v>28</v>
      </c>
      <c r="AW70">
        <v>21</v>
      </c>
      <c r="AX70" t="s">
        <v>74</v>
      </c>
      <c r="AY70" t="s">
        <v>74</v>
      </c>
      <c r="AZ70" t="s">
        <v>74</v>
      </c>
      <c r="BA70" t="s">
        <v>74</v>
      </c>
      <c r="BB70">
        <v>4147</v>
      </c>
      <c r="BC70">
        <v>4150</v>
      </c>
      <c r="BD70" t="s">
        <v>74</v>
      </c>
      <c r="BE70" t="s">
        <v>1117</v>
      </c>
      <c r="BF70" t="str">
        <f>HYPERLINK("http://dx.doi.org/10.1029/2001GL013632","http://dx.doi.org/10.1029/2001GL013632")</f>
        <v>http://dx.doi.org/10.1029/2001GL013632</v>
      </c>
      <c r="BG70" t="s">
        <v>74</v>
      </c>
      <c r="BH70" t="s">
        <v>74</v>
      </c>
      <c r="BI70">
        <v>4</v>
      </c>
      <c r="BJ70" t="s">
        <v>300</v>
      </c>
      <c r="BK70" t="s">
        <v>88</v>
      </c>
      <c r="BL70" t="s">
        <v>113</v>
      </c>
      <c r="BM70" t="s">
        <v>1097</v>
      </c>
      <c r="BN70" t="s">
        <v>74</v>
      </c>
      <c r="BO70" t="s">
        <v>171</v>
      </c>
      <c r="BP70" t="s">
        <v>74</v>
      </c>
      <c r="BQ70" t="s">
        <v>74</v>
      </c>
      <c r="BR70" t="s">
        <v>91</v>
      </c>
      <c r="BS70" t="s">
        <v>1118</v>
      </c>
      <c r="BT70" t="str">
        <f>HYPERLINK("https%3A%2F%2Fwww.webofscience.com%2Fwos%2Fwoscc%2Ffull-record%2FWOS:000171780000035","View Full Record in Web of Science")</f>
        <v>View Full Record in Web of Science</v>
      </c>
    </row>
    <row r="71" spans="1:72" x14ac:dyDescent="0.15">
      <c r="A71" t="s">
        <v>72</v>
      </c>
      <c r="B71" t="s">
        <v>1119</v>
      </c>
      <c r="C71" t="s">
        <v>74</v>
      </c>
      <c r="D71" t="s">
        <v>74</v>
      </c>
      <c r="E71" t="s">
        <v>74</v>
      </c>
      <c r="F71" t="s">
        <v>1119</v>
      </c>
      <c r="G71" t="s">
        <v>74</v>
      </c>
      <c r="H71" t="s">
        <v>74</v>
      </c>
      <c r="I71" t="s">
        <v>1120</v>
      </c>
      <c r="J71" t="s">
        <v>1121</v>
      </c>
      <c r="K71" t="s">
        <v>74</v>
      </c>
      <c r="L71" t="s">
        <v>74</v>
      </c>
      <c r="M71" t="s">
        <v>77</v>
      </c>
      <c r="N71" t="s">
        <v>435</v>
      </c>
      <c r="O71" t="s">
        <v>1122</v>
      </c>
      <c r="P71" t="s">
        <v>1123</v>
      </c>
      <c r="Q71" t="s">
        <v>1124</v>
      </c>
      <c r="R71" t="s">
        <v>74</v>
      </c>
      <c r="S71" t="s">
        <v>74</v>
      </c>
      <c r="T71" t="s">
        <v>1125</v>
      </c>
      <c r="U71" t="s">
        <v>1126</v>
      </c>
      <c r="V71" t="s">
        <v>1127</v>
      </c>
      <c r="W71" t="s">
        <v>1128</v>
      </c>
      <c r="X71" t="s">
        <v>1129</v>
      </c>
      <c r="Y71" t="s">
        <v>1130</v>
      </c>
      <c r="Z71" t="s">
        <v>1131</v>
      </c>
      <c r="AA71" t="s">
        <v>74</v>
      </c>
      <c r="AB71" t="s">
        <v>74</v>
      </c>
      <c r="AC71" t="s">
        <v>74</v>
      </c>
      <c r="AD71" t="s">
        <v>74</v>
      </c>
      <c r="AE71" t="s">
        <v>74</v>
      </c>
      <c r="AF71" t="s">
        <v>74</v>
      </c>
      <c r="AG71">
        <v>100</v>
      </c>
      <c r="AH71">
        <v>63</v>
      </c>
      <c r="AI71">
        <v>67</v>
      </c>
      <c r="AJ71">
        <v>0</v>
      </c>
      <c r="AK71">
        <v>15</v>
      </c>
      <c r="AL71" t="s">
        <v>1132</v>
      </c>
      <c r="AM71" t="s">
        <v>1133</v>
      </c>
      <c r="AN71" t="s">
        <v>1134</v>
      </c>
      <c r="AO71" t="s">
        <v>1135</v>
      </c>
      <c r="AP71" t="s">
        <v>1136</v>
      </c>
      <c r="AQ71" t="s">
        <v>74</v>
      </c>
      <c r="AR71" t="s">
        <v>1121</v>
      </c>
      <c r="AS71" t="s">
        <v>1137</v>
      </c>
      <c r="AT71" t="s">
        <v>737</v>
      </c>
      <c r="AU71">
        <v>2001</v>
      </c>
      <c r="AV71">
        <v>154</v>
      </c>
      <c r="AW71">
        <v>1</v>
      </c>
      <c r="AX71" t="s">
        <v>74</v>
      </c>
      <c r="AY71" t="s">
        <v>74</v>
      </c>
      <c r="AZ71" t="s">
        <v>74</v>
      </c>
      <c r="BA71" t="s">
        <v>74</v>
      </c>
      <c r="BB71">
        <v>98</v>
      </c>
      <c r="BC71">
        <v>112</v>
      </c>
      <c r="BD71" t="s">
        <v>74</v>
      </c>
      <c r="BE71" t="s">
        <v>1138</v>
      </c>
      <c r="BF71" t="str">
        <f>HYPERLINK("http://dx.doi.org/10.1006/icar.2001.6661","http://dx.doi.org/10.1006/icar.2001.6661")</f>
        <v>http://dx.doi.org/10.1006/icar.2001.6661</v>
      </c>
      <c r="BG71" t="s">
        <v>74</v>
      </c>
      <c r="BH71" t="s">
        <v>74</v>
      </c>
      <c r="BI71">
        <v>15</v>
      </c>
      <c r="BJ71" t="s">
        <v>1139</v>
      </c>
      <c r="BK71" t="s">
        <v>816</v>
      </c>
      <c r="BL71" t="s">
        <v>1139</v>
      </c>
      <c r="BM71" t="s">
        <v>1140</v>
      </c>
      <c r="BN71" t="s">
        <v>74</v>
      </c>
      <c r="BO71" t="s">
        <v>74</v>
      </c>
      <c r="BP71" t="s">
        <v>74</v>
      </c>
      <c r="BQ71" t="s">
        <v>74</v>
      </c>
      <c r="BR71" t="s">
        <v>91</v>
      </c>
      <c r="BS71" t="s">
        <v>1141</v>
      </c>
      <c r="BT71" t="str">
        <f>HYPERLINK("https%3A%2F%2Fwww.webofscience.com%2Fwos%2Fwoscc%2Ffull-record%2FWOS:000173796500006","View Full Record in Web of Science")</f>
        <v>View Full Record in Web of Science</v>
      </c>
    </row>
    <row r="72" spans="1:72" x14ac:dyDescent="0.15">
      <c r="A72" t="s">
        <v>72</v>
      </c>
      <c r="B72" t="s">
        <v>1142</v>
      </c>
      <c r="C72" t="s">
        <v>74</v>
      </c>
      <c r="D72" t="s">
        <v>74</v>
      </c>
      <c r="E72" t="s">
        <v>74</v>
      </c>
      <c r="F72" t="s">
        <v>1142</v>
      </c>
      <c r="G72" t="s">
        <v>74</v>
      </c>
      <c r="H72" t="s">
        <v>74</v>
      </c>
      <c r="I72" t="s">
        <v>1143</v>
      </c>
      <c r="J72" t="s">
        <v>1121</v>
      </c>
      <c r="K72" t="s">
        <v>74</v>
      </c>
      <c r="L72" t="s">
        <v>74</v>
      </c>
      <c r="M72" t="s">
        <v>77</v>
      </c>
      <c r="N72" t="s">
        <v>435</v>
      </c>
      <c r="O72" t="s">
        <v>1122</v>
      </c>
      <c r="P72" t="s">
        <v>1123</v>
      </c>
      <c r="Q72" t="s">
        <v>1124</v>
      </c>
      <c r="R72" t="s">
        <v>74</v>
      </c>
      <c r="S72" t="s">
        <v>74</v>
      </c>
      <c r="T72" t="s">
        <v>1144</v>
      </c>
      <c r="U72" t="s">
        <v>1145</v>
      </c>
      <c r="V72" t="s">
        <v>1146</v>
      </c>
      <c r="W72" t="s">
        <v>1147</v>
      </c>
      <c r="X72" t="s">
        <v>1148</v>
      </c>
      <c r="Y72" t="s">
        <v>1149</v>
      </c>
      <c r="Z72" t="s">
        <v>1150</v>
      </c>
      <c r="AA72" t="s">
        <v>1151</v>
      </c>
      <c r="AB72" t="s">
        <v>74</v>
      </c>
      <c r="AC72" t="s">
        <v>74</v>
      </c>
      <c r="AD72" t="s">
        <v>74</v>
      </c>
      <c r="AE72" t="s">
        <v>74</v>
      </c>
      <c r="AF72" t="s">
        <v>74</v>
      </c>
      <c r="AG72">
        <v>113</v>
      </c>
      <c r="AH72">
        <v>50</v>
      </c>
      <c r="AI72">
        <v>58</v>
      </c>
      <c r="AJ72">
        <v>1</v>
      </c>
      <c r="AK72">
        <v>7</v>
      </c>
      <c r="AL72" t="s">
        <v>1132</v>
      </c>
      <c r="AM72" t="s">
        <v>1133</v>
      </c>
      <c r="AN72" t="s">
        <v>1134</v>
      </c>
      <c r="AO72" t="s">
        <v>1135</v>
      </c>
      <c r="AP72" t="s">
        <v>1136</v>
      </c>
      <c r="AQ72" t="s">
        <v>74</v>
      </c>
      <c r="AR72" t="s">
        <v>1121</v>
      </c>
      <c r="AS72" t="s">
        <v>1137</v>
      </c>
      <c r="AT72" t="s">
        <v>737</v>
      </c>
      <c r="AU72">
        <v>2001</v>
      </c>
      <c r="AV72">
        <v>154</v>
      </c>
      <c r="AW72">
        <v>1</v>
      </c>
      <c r="AX72" t="s">
        <v>74</v>
      </c>
      <c r="AY72" t="s">
        <v>74</v>
      </c>
      <c r="AZ72" t="s">
        <v>74</v>
      </c>
      <c r="BA72" t="s">
        <v>74</v>
      </c>
      <c r="BB72">
        <v>113</v>
      </c>
      <c r="BC72">
        <v>130</v>
      </c>
      <c r="BD72" t="s">
        <v>74</v>
      </c>
      <c r="BE72" t="s">
        <v>1152</v>
      </c>
      <c r="BF72" t="str">
        <f>HYPERLINK("http://dx.doi.org/10.1006/icar.2001.6667","http://dx.doi.org/10.1006/icar.2001.6667")</f>
        <v>http://dx.doi.org/10.1006/icar.2001.6667</v>
      </c>
      <c r="BG72" t="s">
        <v>74</v>
      </c>
      <c r="BH72" t="s">
        <v>74</v>
      </c>
      <c r="BI72">
        <v>18</v>
      </c>
      <c r="BJ72" t="s">
        <v>1139</v>
      </c>
      <c r="BK72" t="s">
        <v>816</v>
      </c>
      <c r="BL72" t="s">
        <v>1139</v>
      </c>
      <c r="BM72" t="s">
        <v>1140</v>
      </c>
      <c r="BN72" t="s">
        <v>74</v>
      </c>
      <c r="BO72" t="s">
        <v>74</v>
      </c>
      <c r="BP72" t="s">
        <v>74</v>
      </c>
      <c r="BQ72" t="s">
        <v>74</v>
      </c>
      <c r="BR72" t="s">
        <v>91</v>
      </c>
      <c r="BS72" t="s">
        <v>1153</v>
      </c>
      <c r="BT72" t="str">
        <f>HYPERLINK("https%3A%2F%2Fwww.webofscience.com%2Fwos%2Fwoscc%2Ffull-record%2FWOS:000173796500007","View Full Record in Web of Science")</f>
        <v>View Full Record in Web of Science</v>
      </c>
    </row>
    <row r="73" spans="1:72" x14ac:dyDescent="0.15">
      <c r="A73" t="s">
        <v>72</v>
      </c>
      <c r="B73" t="s">
        <v>1154</v>
      </c>
      <c r="C73" t="s">
        <v>74</v>
      </c>
      <c r="D73" t="s">
        <v>74</v>
      </c>
      <c r="E73" t="s">
        <v>74</v>
      </c>
      <c r="F73" t="s">
        <v>1154</v>
      </c>
      <c r="G73" t="s">
        <v>74</v>
      </c>
      <c r="H73" t="s">
        <v>74</v>
      </c>
      <c r="I73" t="s">
        <v>1155</v>
      </c>
      <c r="J73" t="s">
        <v>1121</v>
      </c>
      <c r="K73" t="s">
        <v>74</v>
      </c>
      <c r="L73" t="s">
        <v>74</v>
      </c>
      <c r="M73" t="s">
        <v>77</v>
      </c>
      <c r="N73" t="s">
        <v>435</v>
      </c>
      <c r="O73" t="s">
        <v>1122</v>
      </c>
      <c r="P73" t="s">
        <v>1123</v>
      </c>
      <c r="Q73" t="s">
        <v>1124</v>
      </c>
      <c r="R73" t="s">
        <v>74</v>
      </c>
      <c r="S73" t="s">
        <v>74</v>
      </c>
      <c r="T73" t="s">
        <v>1156</v>
      </c>
      <c r="U73" t="s">
        <v>74</v>
      </c>
      <c r="V73" t="s">
        <v>1157</v>
      </c>
      <c r="W73" t="s">
        <v>1158</v>
      </c>
      <c r="X73" t="s">
        <v>1159</v>
      </c>
      <c r="Y73" t="s">
        <v>1160</v>
      </c>
      <c r="Z73" t="s">
        <v>74</v>
      </c>
      <c r="AA73" t="s">
        <v>74</v>
      </c>
      <c r="AB73" t="s">
        <v>74</v>
      </c>
      <c r="AC73" t="s">
        <v>74</v>
      </c>
      <c r="AD73" t="s">
        <v>74</v>
      </c>
      <c r="AE73" t="s">
        <v>74</v>
      </c>
      <c r="AF73" t="s">
        <v>74</v>
      </c>
      <c r="AG73">
        <v>8</v>
      </c>
      <c r="AH73">
        <v>2</v>
      </c>
      <c r="AI73">
        <v>2</v>
      </c>
      <c r="AJ73">
        <v>1</v>
      </c>
      <c r="AK73">
        <v>12</v>
      </c>
      <c r="AL73" t="s">
        <v>1132</v>
      </c>
      <c r="AM73" t="s">
        <v>1133</v>
      </c>
      <c r="AN73" t="s">
        <v>1134</v>
      </c>
      <c r="AO73" t="s">
        <v>1135</v>
      </c>
      <c r="AP73" t="s">
        <v>74</v>
      </c>
      <c r="AQ73" t="s">
        <v>74</v>
      </c>
      <c r="AR73" t="s">
        <v>1121</v>
      </c>
      <c r="AS73" t="s">
        <v>1137</v>
      </c>
      <c r="AT73" t="s">
        <v>737</v>
      </c>
      <c r="AU73">
        <v>2001</v>
      </c>
      <c r="AV73">
        <v>154</v>
      </c>
      <c r="AW73">
        <v>1</v>
      </c>
      <c r="AX73" t="s">
        <v>74</v>
      </c>
      <c r="AY73" t="s">
        <v>74</v>
      </c>
      <c r="AZ73" t="s">
        <v>74</v>
      </c>
      <c r="BA73" t="s">
        <v>74</v>
      </c>
      <c r="BB73">
        <v>181</v>
      </c>
      <c r="BC73">
        <v>182</v>
      </c>
      <c r="BD73" t="s">
        <v>74</v>
      </c>
      <c r="BE73" t="s">
        <v>1161</v>
      </c>
      <c r="BF73" t="str">
        <f>HYPERLINK("http://dx.doi.org/10.1006/icar.2001.6697","http://dx.doi.org/10.1006/icar.2001.6697")</f>
        <v>http://dx.doi.org/10.1006/icar.2001.6697</v>
      </c>
      <c r="BG73" t="s">
        <v>74</v>
      </c>
      <c r="BH73" t="s">
        <v>74</v>
      </c>
      <c r="BI73">
        <v>2</v>
      </c>
      <c r="BJ73" t="s">
        <v>1139</v>
      </c>
      <c r="BK73" t="s">
        <v>453</v>
      </c>
      <c r="BL73" t="s">
        <v>1139</v>
      </c>
      <c r="BM73" t="s">
        <v>1140</v>
      </c>
      <c r="BN73" t="s">
        <v>74</v>
      </c>
      <c r="BO73" t="s">
        <v>74</v>
      </c>
      <c r="BP73" t="s">
        <v>74</v>
      </c>
      <c r="BQ73" t="s">
        <v>74</v>
      </c>
      <c r="BR73" t="s">
        <v>91</v>
      </c>
      <c r="BS73" t="s">
        <v>1162</v>
      </c>
      <c r="BT73" t="str">
        <f>HYPERLINK("https%3A%2F%2Fwww.webofscience.com%2Fwos%2Fwoscc%2Ffull-record%2FWOS:000173796500011","View Full Record in Web of Science")</f>
        <v>View Full Record in Web of Science</v>
      </c>
    </row>
    <row r="74" spans="1:72" x14ac:dyDescent="0.15">
      <c r="A74" t="s">
        <v>72</v>
      </c>
      <c r="B74" t="s">
        <v>1163</v>
      </c>
      <c r="C74" t="s">
        <v>74</v>
      </c>
      <c r="D74" t="s">
        <v>74</v>
      </c>
      <c r="E74" t="s">
        <v>74</v>
      </c>
      <c r="F74" t="s">
        <v>1163</v>
      </c>
      <c r="G74" t="s">
        <v>74</v>
      </c>
      <c r="H74" t="s">
        <v>74</v>
      </c>
      <c r="I74" t="s">
        <v>1164</v>
      </c>
      <c r="J74" t="s">
        <v>1165</v>
      </c>
      <c r="K74" t="s">
        <v>74</v>
      </c>
      <c r="L74" t="s">
        <v>74</v>
      </c>
      <c r="M74" t="s">
        <v>77</v>
      </c>
      <c r="N74" t="s">
        <v>120</v>
      </c>
      <c r="O74" t="s">
        <v>74</v>
      </c>
      <c r="P74" t="s">
        <v>74</v>
      </c>
      <c r="Q74" t="s">
        <v>74</v>
      </c>
      <c r="R74" t="s">
        <v>74</v>
      </c>
      <c r="S74" t="s">
        <v>74</v>
      </c>
      <c r="T74" t="s">
        <v>1166</v>
      </c>
      <c r="U74" t="s">
        <v>1167</v>
      </c>
      <c r="V74" t="s">
        <v>1168</v>
      </c>
      <c r="W74" t="s">
        <v>1169</v>
      </c>
      <c r="X74" t="s">
        <v>1170</v>
      </c>
      <c r="Y74" t="s">
        <v>1171</v>
      </c>
      <c r="Z74" t="s">
        <v>74</v>
      </c>
      <c r="AA74" t="s">
        <v>74</v>
      </c>
      <c r="AB74" t="s">
        <v>74</v>
      </c>
      <c r="AC74" t="s">
        <v>74</v>
      </c>
      <c r="AD74" t="s">
        <v>74</v>
      </c>
      <c r="AE74" t="s">
        <v>74</v>
      </c>
      <c r="AF74" t="s">
        <v>74</v>
      </c>
      <c r="AG74">
        <v>70</v>
      </c>
      <c r="AH74">
        <v>30</v>
      </c>
      <c r="AI74">
        <v>31</v>
      </c>
      <c r="AJ74">
        <v>1</v>
      </c>
      <c r="AK74">
        <v>16</v>
      </c>
      <c r="AL74" t="s">
        <v>203</v>
      </c>
      <c r="AM74" t="s">
        <v>204</v>
      </c>
      <c r="AN74" t="s">
        <v>205</v>
      </c>
      <c r="AO74" t="s">
        <v>1172</v>
      </c>
      <c r="AP74" t="s">
        <v>74</v>
      </c>
      <c r="AQ74" t="s">
        <v>74</v>
      </c>
      <c r="AR74" t="s">
        <v>1173</v>
      </c>
      <c r="AS74" t="s">
        <v>1174</v>
      </c>
      <c r="AT74" t="s">
        <v>737</v>
      </c>
      <c r="AU74">
        <v>2001</v>
      </c>
      <c r="AV74">
        <v>90</v>
      </c>
      <c r="AW74">
        <v>4</v>
      </c>
      <c r="AX74" t="s">
        <v>74</v>
      </c>
      <c r="AY74" t="s">
        <v>74</v>
      </c>
      <c r="AZ74" t="s">
        <v>74</v>
      </c>
      <c r="BA74" t="s">
        <v>74</v>
      </c>
      <c r="BB74">
        <v>753</v>
      </c>
      <c r="BC74">
        <v>768</v>
      </c>
      <c r="BD74" t="s">
        <v>74</v>
      </c>
      <c r="BE74" t="s">
        <v>1175</v>
      </c>
      <c r="BF74" t="str">
        <f>HYPERLINK("http://dx.doi.org/10.1007/s005310000172","http://dx.doi.org/10.1007/s005310000172")</f>
        <v>http://dx.doi.org/10.1007/s005310000172</v>
      </c>
      <c r="BG74" t="s">
        <v>74</v>
      </c>
      <c r="BH74" t="s">
        <v>74</v>
      </c>
      <c r="BI74">
        <v>16</v>
      </c>
      <c r="BJ74" t="s">
        <v>300</v>
      </c>
      <c r="BK74" t="s">
        <v>88</v>
      </c>
      <c r="BL74" t="s">
        <v>113</v>
      </c>
      <c r="BM74" t="s">
        <v>1176</v>
      </c>
      <c r="BN74" t="s">
        <v>74</v>
      </c>
      <c r="BO74" t="s">
        <v>74</v>
      </c>
      <c r="BP74" t="s">
        <v>74</v>
      </c>
      <c r="BQ74" t="s">
        <v>74</v>
      </c>
      <c r="BR74" t="s">
        <v>91</v>
      </c>
      <c r="BS74" t="s">
        <v>1177</v>
      </c>
      <c r="BT74" t="str">
        <f>HYPERLINK("https%3A%2F%2Fwww.webofscience.com%2Fwos%2Fwoscc%2Ffull-record%2FWOS:000172501700001","View Full Record in Web of Science")</f>
        <v>View Full Record in Web of Science</v>
      </c>
    </row>
    <row r="75" spans="1:72" x14ac:dyDescent="0.15">
      <c r="A75" t="s">
        <v>72</v>
      </c>
      <c r="B75" t="s">
        <v>1178</v>
      </c>
      <c r="C75" t="s">
        <v>74</v>
      </c>
      <c r="D75" t="s">
        <v>74</v>
      </c>
      <c r="E75" t="s">
        <v>74</v>
      </c>
      <c r="F75" t="s">
        <v>1178</v>
      </c>
      <c r="G75" t="s">
        <v>74</v>
      </c>
      <c r="H75" t="s">
        <v>74</v>
      </c>
      <c r="I75" t="s">
        <v>1179</v>
      </c>
      <c r="J75" t="s">
        <v>1180</v>
      </c>
      <c r="K75" t="s">
        <v>74</v>
      </c>
      <c r="L75" t="s">
        <v>74</v>
      </c>
      <c r="M75" t="s">
        <v>77</v>
      </c>
      <c r="N75" t="s">
        <v>120</v>
      </c>
      <c r="O75" t="s">
        <v>74</v>
      </c>
      <c r="P75" t="s">
        <v>74</v>
      </c>
      <c r="Q75" t="s">
        <v>74</v>
      </c>
      <c r="R75" t="s">
        <v>74</v>
      </c>
      <c r="S75" t="s">
        <v>74</v>
      </c>
      <c r="T75" t="s">
        <v>1181</v>
      </c>
      <c r="U75" t="s">
        <v>1182</v>
      </c>
      <c r="V75" t="s">
        <v>1183</v>
      </c>
      <c r="W75" t="s">
        <v>1184</v>
      </c>
      <c r="X75" t="s">
        <v>1185</v>
      </c>
      <c r="Y75" t="s">
        <v>1186</v>
      </c>
      <c r="Z75" t="s">
        <v>74</v>
      </c>
      <c r="AA75" t="s">
        <v>1187</v>
      </c>
      <c r="AB75" t="s">
        <v>1188</v>
      </c>
      <c r="AC75" t="s">
        <v>74</v>
      </c>
      <c r="AD75" t="s">
        <v>74</v>
      </c>
      <c r="AE75" t="s">
        <v>74</v>
      </c>
      <c r="AF75" t="s">
        <v>74</v>
      </c>
      <c r="AG75">
        <v>38</v>
      </c>
      <c r="AH75">
        <v>60</v>
      </c>
      <c r="AI75">
        <v>62</v>
      </c>
      <c r="AJ75">
        <v>1</v>
      </c>
      <c r="AK75">
        <v>10</v>
      </c>
      <c r="AL75" t="s">
        <v>1189</v>
      </c>
      <c r="AM75" t="s">
        <v>1190</v>
      </c>
      <c r="AN75" t="s">
        <v>1191</v>
      </c>
      <c r="AO75" t="s">
        <v>1192</v>
      </c>
      <c r="AP75" t="s">
        <v>74</v>
      </c>
      <c r="AQ75" t="s">
        <v>74</v>
      </c>
      <c r="AR75" t="s">
        <v>1193</v>
      </c>
      <c r="AS75" t="s">
        <v>1194</v>
      </c>
      <c r="AT75" t="s">
        <v>737</v>
      </c>
      <c r="AU75">
        <v>2001</v>
      </c>
      <c r="AV75">
        <v>51</v>
      </c>
      <c r="AW75" t="s">
        <v>74</v>
      </c>
      <c r="AX75">
        <v>6</v>
      </c>
      <c r="AY75" t="s">
        <v>74</v>
      </c>
      <c r="AZ75" t="s">
        <v>74</v>
      </c>
      <c r="BA75" t="s">
        <v>74</v>
      </c>
      <c r="BB75">
        <v>1987</v>
      </c>
      <c r="BC75">
        <v>1995</v>
      </c>
      <c r="BD75" t="s">
        <v>74</v>
      </c>
      <c r="BE75" t="s">
        <v>1195</v>
      </c>
      <c r="BF75" t="str">
        <f>HYPERLINK("http://dx.doi.org/10.1099/00207713-51-6-1987","http://dx.doi.org/10.1099/00207713-51-6-1987")</f>
        <v>http://dx.doi.org/10.1099/00207713-51-6-1987</v>
      </c>
      <c r="BG75" t="s">
        <v>74</v>
      </c>
      <c r="BH75" t="s">
        <v>74</v>
      </c>
      <c r="BI75">
        <v>9</v>
      </c>
      <c r="BJ75" t="s">
        <v>1196</v>
      </c>
      <c r="BK75" t="s">
        <v>88</v>
      </c>
      <c r="BL75" t="s">
        <v>1196</v>
      </c>
      <c r="BM75" t="s">
        <v>1197</v>
      </c>
      <c r="BN75">
        <v>11760939</v>
      </c>
      <c r="BO75" t="s">
        <v>171</v>
      </c>
      <c r="BP75" t="s">
        <v>74</v>
      </c>
      <c r="BQ75" t="s">
        <v>74</v>
      </c>
      <c r="BR75" t="s">
        <v>91</v>
      </c>
      <c r="BS75" t="s">
        <v>1198</v>
      </c>
      <c r="BT75" t="str">
        <f>HYPERLINK("https%3A%2F%2Fwww.webofscience.com%2Fwos%2Fwoscc%2Ffull-record%2FWOS:000172374400007","View Full Record in Web of Science")</f>
        <v>View Full Record in Web of Science</v>
      </c>
    </row>
    <row r="76" spans="1:72" x14ac:dyDescent="0.15">
      <c r="A76" t="s">
        <v>72</v>
      </c>
      <c r="B76" t="s">
        <v>1199</v>
      </c>
      <c r="C76" t="s">
        <v>74</v>
      </c>
      <c r="D76" t="s">
        <v>74</v>
      </c>
      <c r="E76" t="s">
        <v>74</v>
      </c>
      <c r="F76" t="s">
        <v>1199</v>
      </c>
      <c r="G76" t="s">
        <v>74</v>
      </c>
      <c r="H76" t="s">
        <v>74</v>
      </c>
      <c r="I76" t="s">
        <v>1200</v>
      </c>
      <c r="J76" t="s">
        <v>1201</v>
      </c>
      <c r="K76" t="s">
        <v>74</v>
      </c>
      <c r="L76" t="s">
        <v>74</v>
      </c>
      <c r="M76" t="s">
        <v>77</v>
      </c>
      <c r="N76" t="s">
        <v>120</v>
      </c>
      <c r="O76" t="s">
        <v>74</v>
      </c>
      <c r="P76" t="s">
        <v>74</v>
      </c>
      <c r="Q76" t="s">
        <v>74</v>
      </c>
      <c r="R76" t="s">
        <v>74</v>
      </c>
      <c r="S76" t="s">
        <v>74</v>
      </c>
      <c r="T76" t="s">
        <v>1202</v>
      </c>
      <c r="U76" t="s">
        <v>1203</v>
      </c>
      <c r="V76" t="s">
        <v>1204</v>
      </c>
      <c r="W76" t="s">
        <v>1205</v>
      </c>
      <c r="X76" t="s">
        <v>1206</v>
      </c>
      <c r="Y76" t="s">
        <v>1207</v>
      </c>
      <c r="Z76" t="s">
        <v>74</v>
      </c>
      <c r="AA76" t="s">
        <v>74</v>
      </c>
      <c r="AB76" t="s">
        <v>74</v>
      </c>
      <c r="AC76" t="s">
        <v>74</v>
      </c>
      <c r="AD76" t="s">
        <v>74</v>
      </c>
      <c r="AE76" t="s">
        <v>74</v>
      </c>
      <c r="AF76" t="s">
        <v>74</v>
      </c>
      <c r="AG76">
        <v>10</v>
      </c>
      <c r="AH76">
        <v>103</v>
      </c>
      <c r="AI76">
        <v>109</v>
      </c>
      <c r="AJ76">
        <v>1</v>
      </c>
      <c r="AK76">
        <v>7</v>
      </c>
      <c r="AL76" t="s">
        <v>79</v>
      </c>
      <c r="AM76" t="s">
        <v>80</v>
      </c>
      <c r="AN76" t="s">
        <v>81</v>
      </c>
      <c r="AO76" t="s">
        <v>1208</v>
      </c>
      <c r="AP76" t="s">
        <v>74</v>
      </c>
      <c r="AQ76" t="s">
        <v>74</v>
      </c>
      <c r="AR76" t="s">
        <v>1209</v>
      </c>
      <c r="AS76" t="s">
        <v>1210</v>
      </c>
      <c r="AT76" t="s">
        <v>737</v>
      </c>
      <c r="AU76">
        <v>2001</v>
      </c>
      <c r="AV76">
        <v>63</v>
      </c>
      <c r="AW76">
        <v>16</v>
      </c>
      <c r="AX76" t="s">
        <v>74</v>
      </c>
      <c r="AY76" t="s">
        <v>74</v>
      </c>
      <c r="AZ76" t="s">
        <v>74</v>
      </c>
      <c r="BA76" t="s">
        <v>74</v>
      </c>
      <c r="BB76">
        <v>1729</v>
      </c>
      <c r="BC76">
        <v>1737</v>
      </c>
      <c r="BD76" t="s">
        <v>74</v>
      </c>
      <c r="BE76" t="s">
        <v>1211</v>
      </c>
      <c r="BF76" t="str">
        <f>HYPERLINK("http://dx.doi.org/10.1016/S1364-6826(01)00048-7","http://dx.doi.org/10.1016/S1364-6826(01)00048-7")</f>
        <v>http://dx.doi.org/10.1016/S1364-6826(01)00048-7</v>
      </c>
      <c r="BG76" t="s">
        <v>74</v>
      </c>
      <c r="BH76" t="s">
        <v>74</v>
      </c>
      <c r="BI76">
        <v>9</v>
      </c>
      <c r="BJ76" t="s">
        <v>1212</v>
      </c>
      <c r="BK76" t="s">
        <v>88</v>
      </c>
      <c r="BL76" t="s">
        <v>1212</v>
      </c>
      <c r="BM76" t="s">
        <v>1213</v>
      </c>
      <c r="BN76" t="s">
        <v>74</v>
      </c>
      <c r="BO76" t="s">
        <v>74</v>
      </c>
      <c r="BP76" t="s">
        <v>74</v>
      </c>
      <c r="BQ76" t="s">
        <v>74</v>
      </c>
      <c r="BR76" t="s">
        <v>91</v>
      </c>
      <c r="BS76" t="s">
        <v>1214</v>
      </c>
      <c r="BT76" t="str">
        <f>HYPERLINK("https%3A%2F%2Fwww.webofscience.com%2Fwos%2Fwoscc%2Ffull-record%2FWOS:000171669900005","View Full Record in Web of Science")</f>
        <v>View Full Record in Web of Science</v>
      </c>
    </row>
    <row r="77" spans="1:72" x14ac:dyDescent="0.15">
      <c r="A77" t="s">
        <v>72</v>
      </c>
      <c r="B77" t="s">
        <v>1215</v>
      </c>
      <c r="C77" t="s">
        <v>74</v>
      </c>
      <c r="D77" t="s">
        <v>74</v>
      </c>
      <c r="E77" t="s">
        <v>74</v>
      </c>
      <c r="F77" t="s">
        <v>1215</v>
      </c>
      <c r="G77" t="s">
        <v>74</v>
      </c>
      <c r="H77" t="s">
        <v>74</v>
      </c>
      <c r="I77" t="s">
        <v>1216</v>
      </c>
      <c r="J77" t="s">
        <v>1217</v>
      </c>
      <c r="K77" t="s">
        <v>74</v>
      </c>
      <c r="L77" t="s">
        <v>74</v>
      </c>
      <c r="M77" t="s">
        <v>77</v>
      </c>
      <c r="N77" t="s">
        <v>120</v>
      </c>
      <c r="O77" t="s">
        <v>74</v>
      </c>
      <c r="P77" t="s">
        <v>74</v>
      </c>
      <c r="Q77" t="s">
        <v>74</v>
      </c>
      <c r="R77" t="s">
        <v>74</v>
      </c>
      <c r="S77" t="s">
        <v>74</v>
      </c>
      <c r="T77" t="s">
        <v>1218</v>
      </c>
      <c r="U77" t="s">
        <v>1219</v>
      </c>
      <c r="V77" t="s">
        <v>1220</v>
      </c>
      <c r="W77" t="s">
        <v>1221</v>
      </c>
      <c r="X77" t="s">
        <v>1222</v>
      </c>
      <c r="Y77" t="s">
        <v>1223</v>
      </c>
      <c r="Z77" t="s">
        <v>74</v>
      </c>
      <c r="AA77" t="s">
        <v>1224</v>
      </c>
      <c r="AB77" t="s">
        <v>74</v>
      </c>
      <c r="AC77" t="s">
        <v>74</v>
      </c>
      <c r="AD77" t="s">
        <v>74</v>
      </c>
      <c r="AE77" t="s">
        <v>74</v>
      </c>
      <c r="AF77" t="s">
        <v>74</v>
      </c>
      <c r="AG77">
        <v>35</v>
      </c>
      <c r="AH77">
        <v>20</v>
      </c>
      <c r="AI77">
        <v>21</v>
      </c>
      <c r="AJ77">
        <v>0</v>
      </c>
      <c r="AK77">
        <v>7</v>
      </c>
      <c r="AL77" t="s">
        <v>1225</v>
      </c>
      <c r="AM77" t="s">
        <v>1226</v>
      </c>
      <c r="AN77" t="s">
        <v>1227</v>
      </c>
      <c r="AO77" t="s">
        <v>1228</v>
      </c>
      <c r="AP77" t="s">
        <v>74</v>
      </c>
      <c r="AQ77" t="s">
        <v>74</v>
      </c>
      <c r="AR77" t="s">
        <v>1229</v>
      </c>
      <c r="AS77" t="s">
        <v>1230</v>
      </c>
      <c r="AT77" t="s">
        <v>737</v>
      </c>
      <c r="AU77">
        <v>2001</v>
      </c>
      <c r="AV77">
        <v>204</v>
      </c>
      <c r="AW77">
        <v>22</v>
      </c>
      <c r="AX77" t="s">
        <v>74</v>
      </c>
      <c r="AY77" t="s">
        <v>74</v>
      </c>
      <c r="AZ77" t="s">
        <v>74</v>
      </c>
      <c r="BA77" t="s">
        <v>74</v>
      </c>
      <c r="BB77">
        <v>3983</v>
      </c>
      <c r="BC77">
        <v>3992</v>
      </c>
      <c r="BD77" t="s">
        <v>74</v>
      </c>
      <c r="BE77" t="s">
        <v>74</v>
      </c>
      <c r="BF77" t="s">
        <v>74</v>
      </c>
      <c r="BG77" t="s">
        <v>74</v>
      </c>
      <c r="BH77" t="s">
        <v>74</v>
      </c>
      <c r="BI77">
        <v>10</v>
      </c>
      <c r="BJ77" t="s">
        <v>1231</v>
      </c>
      <c r="BK77" t="s">
        <v>88</v>
      </c>
      <c r="BL77" t="s">
        <v>1232</v>
      </c>
      <c r="BM77" t="s">
        <v>1233</v>
      </c>
      <c r="BN77">
        <v>11807116</v>
      </c>
      <c r="BO77" t="s">
        <v>74</v>
      </c>
      <c r="BP77" t="s">
        <v>74</v>
      </c>
      <c r="BQ77" t="s">
        <v>74</v>
      </c>
      <c r="BR77" t="s">
        <v>91</v>
      </c>
      <c r="BS77" t="s">
        <v>1234</v>
      </c>
      <c r="BT77" t="str">
        <f>HYPERLINK("https%3A%2F%2Fwww.webofscience.com%2Fwos%2Fwoscc%2Ffull-record%2FWOS:000172644800017","View Full Record in Web of Science")</f>
        <v>View Full Record in Web of Science</v>
      </c>
    </row>
    <row r="78" spans="1:72" x14ac:dyDescent="0.15">
      <c r="A78" t="s">
        <v>72</v>
      </c>
      <c r="B78" t="s">
        <v>1235</v>
      </c>
      <c r="C78" t="s">
        <v>74</v>
      </c>
      <c r="D78" t="s">
        <v>74</v>
      </c>
      <c r="E78" t="s">
        <v>74</v>
      </c>
      <c r="F78" t="s">
        <v>1235</v>
      </c>
      <c r="G78" t="s">
        <v>74</v>
      </c>
      <c r="H78" t="s">
        <v>74</v>
      </c>
      <c r="I78" t="s">
        <v>1236</v>
      </c>
      <c r="J78" t="s">
        <v>1237</v>
      </c>
      <c r="K78" t="s">
        <v>74</v>
      </c>
      <c r="L78" t="s">
        <v>74</v>
      </c>
      <c r="M78" t="s">
        <v>77</v>
      </c>
      <c r="N78" t="s">
        <v>120</v>
      </c>
      <c r="O78" t="s">
        <v>74</v>
      </c>
      <c r="P78" t="s">
        <v>74</v>
      </c>
      <c r="Q78" t="s">
        <v>74</v>
      </c>
      <c r="R78" t="s">
        <v>74</v>
      </c>
      <c r="S78" t="s">
        <v>74</v>
      </c>
      <c r="T78" t="s">
        <v>1238</v>
      </c>
      <c r="U78" t="s">
        <v>1239</v>
      </c>
      <c r="V78" t="s">
        <v>1240</v>
      </c>
      <c r="W78" t="s">
        <v>1241</v>
      </c>
      <c r="X78" t="s">
        <v>1242</v>
      </c>
      <c r="Y78" t="s">
        <v>1243</v>
      </c>
      <c r="Z78" t="s">
        <v>1244</v>
      </c>
      <c r="AA78" t="s">
        <v>1245</v>
      </c>
      <c r="AB78" t="s">
        <v>1246</v>
      </c>
      <c r="AC78" t="s">
        <v>74</v>
      </c>
      <c r="AD78" t="s">
        <v>74</v>
      </c>
      <c r="AE78" t="s">
        <v>74</v>
      </c>
      <c r="AF78" t="s">
        <v>74</v>
      </c>
      <c r="AG78">
        <v>22</v>
      </c>
      <c r="AH78">
        <v>52</v>
      </c>
      <c r="AI78">
        <v>53</v>
      </c>
      <c r="AJ78">
        <v>1</v>
      </c>
      <c r="AK78">
        <v>18</v>
      </c>
      <c r="AL78" t="s">
        <v>1247</v>
      </c>
      <c r="AM78" t="s">
        <v>1248</v>
      </c>
      <c r="AN78" t="s">
        <v>1249</v>
      </c>
      <c r="AO78" t="s">
        <v>1250</v>
      </c>
      <c r="AP78" t="s">
        <v>1251</v>
      </c>
      <c r="AQ78" t="s">
        <v>74</v>
      </c>
      <c r="AR78" t="s">
        <v>1252</v>
      </c>
      <c r="AS78" t="s">
        <v>1253</v>
      </c>
      <c r="AT78" t="s">
        <v>737</v>
      </c>
      <c r="AU78">
        <v>2001</v>
      </c>
      <c r="AV78">
        <v>59</v>
      </c>
      <c r="AW78">
        <v>5</v>
      </c>
      <c r="AX78" t="s">
        <v>74</v>
      </c>
      <c r="AY78" t="s">
        <v>74</v>
      </c>
      <c r="AZ78" t="s">
        <v>74</v>
      </c>
      <c r="BA78" t="s">
        <v>74</v>
      </c>
      <c r="BB78">
        <v>1370</v>
      </c>
      <c r="BC78">
        <v>1384</v>
      </c>
      <c r="BD78" t="s">
        <v>74</v>
      </c>
      <c r="BE78" t="s">
        <v>1254</v>
      </c>
      <c r="BF78" t="str">
        <f>HYPERLINK("http://dx.doi.org/10.1006/jfbi.2001.1748","http://dx.doi.org/10.1006/jfbi.2001.1748")</f>
        <v>http://dx.doi.org/10.1006/jfbi.2001.1748</v>
      </c>
      <c r="BG78" t="s">
        <v>74</v>
      </c>
      <c r="BH78" t="s">
        <v>74</v>
      </c>
      <c r="BI78">
        <v>15</v>
      </c>
      <c r="BJ78" t="s">
        <v>1255</v>
      </c>
      <c r="BK78" t="s">
        <v>88</v>
      </c>
      <c r="BL78" t="s">
        <v>1255</v>
      </c>
      <c r="BM78" t="s">
        <v>1256</v>
      </c>
      <c r="BN78" t="s">
        <v>74</v>
      </c>
      <c r="BO78" t="s">
        <v>74</v>
      </c>
      <c r="BP78" t="s">
        <v>74</v>
      </c>
      <c r="BQ78" t="s">
        <v>74</v>
      </c>
      <c r="BR78" t="s">
        <v>91</v>
      </c>
      <c r="BS78" t="s">
        <v>1257</v>
      </c>
      <c r="BT78" t="str">
        <f>HYPERLINK("https%3A%2F%2Fwww.webofscience.com%2Fwos%2Fwoscc%2Ffull-record%2FWOS:000172718200020","View Full Record in Web of Science")</f>
        <v>View Full Record in Web of Science</v>
      </c>
    </row>
    <row r="79" spans="1:72" x14ac:dyDescent="0.15">
      <c r="A79" t="s">
        <v>72</v>
      </c>
      <c r="B79" t="s">
        <v>1258</v>
      </c>
      <c r="C79" t="s">
        <v>74</v>
      </c>
      <c r="D79" t="s">
        <v>74</v>
      </c>
      <c r="E79" t="s">
        <v>74</v>
      </c>
      <c r="F79" t="s">
        <v>1258</v>
      </c>
      <c r="G79" t="s">
        <v>74</v>
      </c>
      <c r="H79" t="s">
        <v>74</v>
      </c>
      <c r="I79" t="s">
        <v>1259</v>
      </c>
      <c r="J79" t="s">
        <v>1237</v>
      </c>
      <c r="K79" t="s">
        <v>74</v>
      </c>
      <c r="L79" t="s">
        <v>74</v>
      </c>
      <c r="M79" t="s">
        <v>77</v>
      </c>
      <c r="N79" t="s">
        <v>120</v>
      </c>
      <c r="O79" t="s">
        <v>74</v>
      </c>
      <c r="P79" t="s">
        <v>74</v>
      </c>
      <c r="Q79" t="s">
        <v>74</v>
      </c>
      <c r="R79" t="s">
        <v>74</v>
      </c>
      <c r="S79" t="s">
        <v>74</v>
      </c>
      <c r="T79" t="s">
        <v>1260</v>
      </c>
      <c r="U79" t="s">
        <v>74</v>
      </c>
      <c r="V79" t="s">
        <v>1261</v>
      </c>
      <c r="W79" t="s">
        <v>1262</v>
      </c>
      <c r="X79" t="s">
        <v>1263</v>
      </c>
      <c r="Y79" t="s">
        <v>1264</v>
      </c>
      <c r="Z79" t="s">
        <v>74</v>
      </c>
      <c r="AA79" t="s">
        <v>1265</v>
      </c>
      <c r="AB79" t="s">
        <v>1266</v>
      </c>
      <c r="AC79" t="s">
        <v>74</v>
      </c>
      <c r="AD79" t="s">
        <v>74</v>
      </c>
      <c r="AE79" t="s">
        <v>74</v>
      </c>
      <c r="AF79" t="s">
        <v>74</v>
      </c>
      <c r="AG79">
        <v>5</v>
      </c>
      <c r="AH79">
        <v>7</v>
      </c>
      <c r="AI79">
        <v>8</v>
      </c>
      <c r="AJ79">
        <v>1</v>
      </c>
      <c r="AK79">
        <v>4</v>
      </c>
      <c r="AL79" t="s">
        <v>1267</v>
      </c>
      <c r="AM79" t="s">
        <v>683</v>
      </c>
      <c r="AN79" t="s">
        <v>1268</v>
      </c>
      <c r="AO79" t="s">
        <v>1250</v>
      </c>
      <c r="AP79" t="s">
        <v>74</v>
      </c>
      <c r="AQ79" t="s">
        <v>74</v>
      </c>
      <c r="AR79" t="s">
        <v>1252</v>
      </c>
      <c r="AS79" t="s">
        <v>1253</v>
      </c>
      <c r="AT79" t="s">
        <v>737</v>
      </c>
      <c r="AU79">
        <v>2001</v>
      </c>
      <c r="AV79">
        <v>59</v>
      </c>
      <c r="AW79">
        <v>5</v>
      </c>
      <c r="AX79" t="s">
        <v>74</v>
      </c>
      <c r="AY79" t="s">
        <v>74</v>
      </c>
      <c r="AZ79" t="s">
        <v>74</v>
      </c>
      <c r="BA79" t="s">
        <v>74</v>
      </c>
      <c r="BB79">
        <v>1430</v>
      </c>
      <c r="BC79">
        <v>1432</v>
      </c>
      <c r="BD79" t="s">
        <v>74</v>
      </c>
      <c r="BE79" t="s">
        <v>74</v>
      </c>
      <c r="BF79" t="s">
        <v>74</v>
      </c>
      <c r="BG79" t="s">
        <v>74</v>
      </c>
      <c r="BH79" t="s">
        <v>74</v>
      </c>
      <c r="BI79">
        <v>3</v>
      </c>
      <c r="BJ79" t="s">
        <v>1255</v>
      </c>
      <c r="BK79" t="s">
        <v>88</v>
      </c>
      <c r="BL79" t="s">
        <v>1255</v>
      </c>
      <c r="BM79" t="s">
        <v>1256</v>
      </c>
      <c r="BN79" t="s">
        <v>74</v>
      </c>
      <c r="BO79" t="s">
        <v>74</v>
      </c>
      <c r="BP79" t="s">
        <v>74</v>
      </c>
      <c r="BQ79" t="s">
        <v>74</v>
      </c>
      <c r="BR79" t="s">
        <v>91</v>
      </c>
      <c r="BS79" t="s">
        <v>1269</v>
      </c>
      <c r="BT79" t="str">
        <f>HYPERLINK("https%3A%2F%2Fwww.webofscience.com%2Fwos%2Fwoscc%2Ffull-record%2FWOS:000172718200029","View Full Record in Web of Science")</f>
        <v>View Full Record in Web of Science</v>
      </c>
    </row>
    <row r="80" spans="1:72" x14ac:dyDescent="0.15">
      <c r="A80" t="s">
        <v>72</v>
      </c>
      <c r="B80" t="s">
        <v>1270</v>
      </c>
      <c r="C80" t="s">
        <v>74</v>
      </c>
      <c r="D80" t="s">
        <v>74</v>
      </c>
      <c r="E80" t="s">
        <v>74</v>
      </c>
      <c r="F80" t="s">
        <v>1270</v>
      </c>
      <c r="G80" t="s">
        <v>74</v>
      </c>
      <c r="H80" t="s">
        <v>74</v>
      </c>
      <c r="I80" t="s">
        <v>1271</v>
      </c>
      <c r="J80" t="s">
        <v>1272</v>
      </c>
      <c r="K80" t="s">
        <v>74</v>
      </c>
      <c r="L80" t="s">
        <v>74</v>
      </c>
      <c r="M80" t="s">
        <v>77</v>
      </c>
      <c r="N80" t="s">
        <v>120</v>
      </c>
      <c r="O80" t="s">
        <v>74</v>
      </c>
      <c r="P80" t="s">
        <v>74</v>
      </c>
      <c r="Q80" t="s">
        <v>74</v>
      </c>
      <c r="R80" t="s">
        <v>74</v>
      </c>
      <c r="S80" t="s">
        <v>74</v>
      </c>
      <c r="T80" t="s">
        <v>74</v>
      </c>
      <c r="U80" t="s">
        <v>1273</v>
      </c>
      <c r="V80" t="s">
        <v>1274</v>
      </c>
      <c r="W80" t="s">
        <v>1275</v>
      </c>
      <c r="X80" t="s">
        <v>1276</v>
      </c>
      <c r="Y80" t="s">
        <v>1277</v>
      </c>
      <c r="Z80" t="s">
        <v>1278</v>
      </c>
      <c r="AA80" t="s">
        <v>1279</v>
      </c>
      <c r="AB80" t="s">
        <v>1280</v>
      </c>
      <c r="AC80" t="s">
        <v>74</v>
      </c>
      <c r="AD80" t="s">
        <v>74</v>
      </c>
      <c r="AE80" t="s">
        <v>74</v>
      </c>
      <c r="AF80" t="s">
        <v>74</v>
      </c>
      <c r="AG80">
        <v>36</v>
      </c>
      <c r="AH80">
        <v>15</v>
      </c>
      <c r="AI80">
        <v>15</v>
      </c>
      <c r="AJ80">
        <v>0</v>
      </c>
      <c r="AK80">
        <v>5</v>
      </c>
      <c r="AL80" t="s">
        <v>149</v>
      </c>
      <c r="AM80" t="s">
        <v>150</v>
      </c>
      <c r="AN80" t="s">
        <v>151</v>
      </c>
      <c r="AO80" t="s">
        <v>1281</v>
      </c>
      <c r="AP80" t="s">
        <v>1282</v>
      </c>
      <c r="AQ80" t="s">
        <v>74</v>
      </c>
      <c r="AR80" t="s">
        <v>1283</v>
      </c>
      <c r="AS80" t="s">
        <v>1284</v>
      </c>
      <c r="AT80" t="s">
        <v>1095</v>
      </c>
      <c r="AU80">
        <v>2001</v>
      </c>
      <c r="AV80">
        <v>106</v>
      </c>
      <c r="AW80" t="s">
        <v>1285</v>
      </c>
      <c r="AX80" t="s">
        <v>74</v>
      </c>
      <c r="AY80" t="s">
        <v>74</v>
      </c>
      <c r="AZ80" t="s">
        <v>74</v>
      </c>
      <c r="BA80" t="s">
        <v>74</v>
      </c>
      <c r="BB80">
        <v>24579</v>
      </c>
      <c r="BC80">
        <v>24591</v>
      </c>
      <c r="BD80" t="s">
        <v>74</v>
      </c>
      <c r="BE80" t="s">
        <v>1286</v>
      </c>
      <c r="BF80" t="str">
        <f>HYPERLINK("http://dx.doi.org/10.1029/2001JA900025","http://dx.doi.org/10.1029/2001JA900025")</f>
        <v>http://dx.doi.org/10.1029/2001JA900025</v>
      </c>
      <c r="BG80" t="s">
        <v>74</v>
      </c>
      <c r="BH80" t="s">
        <v>74</v>
      </c>
      <c r="BI80">
        <v>13</v>
      </c>
      <c r="BJ80" t="s">
        <v>1139</v>
      </c>
      <c r="BK80" t="s">
        <v>88</v>
      </c>
      <c r="BL80" t="s">
        <v>1139</v>
      </c>
      <c r="BM80" t="s">
        <v>1287</v>
      </c>
      <c r="BN80" t="s">
        <v>74</v>
      </c>
      <c r="BO80" t="s">
        <v>171</v>
      </c>
      <c r="BP80" t="s">
        <v>74</v>
      </c>
      <c r="BQ80" t="s">
        <v>74</v>
      </c>
      <c r="BR80" t="s">
        <v>91</v>
      </c>
      <c r="BS80" t="s">
        <v>1288</v>
      </c>
      <c r="BT80" t="str">
        <f>HYPERLINK("https%3A%2F%2Fwww.webofscience.com%2Fwos%2Fwoscc%2Ffull-record%2FWOS:000172049300008","View Full Record in Web of Science")</f>
        <v>View Full Record in Web of Science</v>
      </c>
    </row>
    <row r="81" spans="1:72" x14ac:dyDescent="0.15">
      <c r="A81" t="s">
        <v>72</v>
      </c>
      <c r="B81" t="s">
        <v>1289</v>
      </c>
      <c r="C81" t="s">
        <v>74</v>
      </c>
      <c r="D81" t="s">
        <v>74</v>
      </c>
      <c r="E81" t="s">
        <v>74</v>
      </c>
      <c r="F81" t="s">
        <v>1289</v>
      </c>
      <c r="G81" t="s">
        <v>74</v>
      </c>
      <c r="H81" t="s">
        <v>74</v>
      </c>
      <c r="I81" t="s">
        <v>1290</v>
      </c>
      <c r="J81" t="s">
        <v>1291</v>
      </c>
      <c r="K81" t="s">
        <v>74</v>
      </c>
      <c r="L81" t="s">
        <v>74</v>
      </c>
      <c r="M81" t="s">
        <v>77</v>
      </c>
      <c r="N81" t="s">
        <v>96</v>
      </c>
      <c r="O81" t="s">
        <v>74</v>
      </c>
      <c r="P81" t="s">
        <v>74</v>
      </c>
      <c r="Q81" t="s">
        <v>74</v>
      </c>
      <c r="R81" t="s">
        <v>74</v>
      </c>
      <c r="S81" t="s">
        <v>74</v>
      </c>
      <c r="T81" t="s">
        <v>74</v>
      </c>
      <c r="U81" t="s">
        <v>74</v>
      </c>
      <c r="V81" t="s">
        <v>1292</v>
      </c>
      <c r="W81" t="s">
        <v>74</v>
      </c>
      <c r="X81" t="s">
        <v>74</v>
      </c>
      <c r="Y81" t="s">
        <v>74</v>
      </c>
      <c r="Z81" t="s">
        <v>74</v>
      </c>
      <c r="AA81" t="s">
        <v>74</v>
      </c>
      <c r="AB81" t="s">
        <v>74</v>
      </c>
      <c r="AC81" t="s">
        <v>74</v>
      </c>
      <c r="AD81" t="s">
        <v>74</v>
      </c>
      <c r="AE81" t="s">
        <v>74</v>
      </c>
      <c r="AF81" t="s">
        <v>74</v>
      </c>
      <c r="AG81">
        <v>190</v>
      </c>
      <c r="AH81">
        <v>3</v>
      </c>
      <c r="AI81">
        <v>4</v>
      </c>
      <c r="AJ81">
        <v>1</v>
      </c>
      <c r="AK81">
        <v>3</v>
      </c>
      <c r="AL81" t="s">
        <v>1293</v>
      </c>
      <c r="AM81" t="s">
        <v>204</v>
      </c>
      <c r="AN81" t="s">
        <v>1294</v>
      </c>
      <c r="AO81" t="s">
        <v>1295</v>
      </c>
      <c r="AP81" t="s">
        <v>74</v>
      </c>
      <c r="AQ81" t="s">
        <v>74</v>
      </c>
      <c r="AR81" t="s">
        <v>1296</v>
      </c>
      <c r="AS81" t="s">
        <v>1297</v>
      </c>
      <c r="AT81" t="s">
        <v>737</v>
      </c>
      <c r="AU81">
        <v>2001</v>
      </c>
      <c r="AV81">
        <v>33</v>
      </c>
      <c r="AW81" t="s">
        <v>74</v>
      </c>
      <c r="AX81">
        <v>4</v>
      </c>
      <c r="AY81" t="s">
        <v>74</v>
      </c>
      <c r="AZ81" t="s">
        <v>74</v>
      </c>
      <c r="BA81" t="s">
        <v>74</v>
      </c>
      <c r="BB81">
        <v>713</v>
      </c>
      <c r="BC81">
        <v>738</v>
      </c>
      <c r="BD81" t="s">
        <v>74</v>
      </c>
      <c r="BE81" t="s">
        <v>74</v>
      </c>
      <c r="BF81" t="s">
        <v>74</v>
      </c>
      <c r="BG81" t="s">
        <v>74</v>
      </c>
      <c r="BH81" t="s">
        <v>74</v>
      </c>
      <c r="BI81">
        <v>26</v>
      </c>
      <c r="BJ81" t="s">
        <v>1298</v>
      </c>
      <c r="BK81" t="s">
        <v>1299</v>
      </c>
      <c r="BL81" t="s">
        <v>1300</v>
      </c>
      <c r="BM81" t="s">
        <v>1301</v>
      </c>
      <c r="BN81" t="s">
        <v>74</v>
      </c>
      <c r="BO81" t="s">
        <v>74</v>
      </c>
      <c r="BP81" t="s">
        <v>74</v>
      </c>
      <c r="BQ81" t="s">
        <v>74</v>
      </c>
      <c r="BR81" t="s">
        <v>91</v>
      </c>
      <c r="BS81" t="s">
        <v>1302</v>
      </c>
      <c r="BT81" t="str">
        <f>HYPERLINK("https%3A%2F%2Fwww.webofscience.com%2Fwos%2Fwoscc%2Ffull-record%2FWOS:000173145500002","View Full Record in Web of Science")</f>
        <v>View Full Record in Web of Science</v>
      </c>
    </row>
    <row r="82" spans="1:72" x14ac:dyDescent="0.15">
      <c r="A82" t="s">
        <v>72</v>
      </c>
      <c r="B82" t="s">
        <v>1303</v>
      </c>
      <c r="C82" t="s">
        <v>74</v>
      </c>
      <c r="D82" t="s">
        <v>74</v>
      </c>
      <c r="E82" t="s">
        <v>74</v>
      </c>
      <c r="F82" t="s">
        <v>1303</v>
      </c>
      <c r="G82" t="s">
        <v>74</v>
      </c>
      <c r="H82" t="s">
        <v>74</v>
      </c>
      <c r="I82" t="s">
        <v>1304</v>
      </c>
      <c r="J82" t="s">
        <v>1305</v>
      </c>
      <c r="K82" t="s">
        <v>74</v>
      </c>
      <c r="L82" t="s">
        <v>74</v>
      </c>
      <c r="M82" t="s">
        <v>77</v>
      </c>
      <c r="N82" t="s">
        <v>120</v>
      </c>
      <c r="O82" t="s">
        <v>74</v>
      </c>
      <c r="P82" t="s">
        <v>74</v>
      </c>
      <c r="Q82" t="s">
        <v>74</v>
      </c>
      <c r="R82" t="s">
        <v>74</v>
      </c>
      <c r="S82" t="s">
        <v>74</v>
      </c>
      <c r="T82" t="s">
        <v>74</v>
      </c>
      <c r="U82" t="s">
        <v>1306</v>
      </c>
      <c r="V82" t="s">
        <v>1307</v>
      </c>
      <c r="W82" t="s">
        <v>1308</v>
      </c>
      <c r="X82" t="s">
        <v>1309</v>
      </c>
      <c r="Y82" t="s">
        <v>1310</v>
      </c>
      <c r="Z82" t="s">
        <v>1311</v>
      </c>
      <c r="AA82" t="s">
        <v>1312</v>
      </c>
      <c r="AB82" t="s">
        <v>1313</v>
      </c>
      <c r="AC82" t="s">
        <v>74</v>
      </c>
      <c r="AD82" t="s">
        <v>74</v>
      </c>
      <c r="AE82" t="s">
        <v>74</v>
      </c>
      <c r="AF82" t="s">
        <v>74</v>
      </c>
      <c r="AG82">
        <v>26</v>
      </c>
      <c r="AH82">
        <v>27</v>
      </c>
      <c r="AI82">
        <v>27</v>
      </c>
      <c r="AJ82">
        <v>0</v>
      </c>
      <c r="AK82">
        <v>6</v>
      </c>
      <c r="AL82" t="s">
        <v>508</v>
      </c>
      <c r="AM82" t="s">
        <v>150</v>
      </c>
      <c r="AN82" t="s">
        <v>509</v>
      </c>
      <c r="AO82" t="s">
        <v>1314</v>
      </c>
      <c r="AP82" t="s">
        <v>74</v>
      </c>
      <c r="AQ82" t="s">
        <v>74</v>
      </c>
      <c r="AR82" t="s">
        <v>1315</v>
      </c>
      <c r="AS82" t="s">
        <v>1316</v>
      </c>
      <c r="AT82" t="s">
        <v>737</v>
      </c>
      <c r="AU82">
        <v>2001</v>
      </c>
      <c r="AV82">
        <v>64</v>
      </c>
      <c r="AW82">
        <v>11</v>
      </c>
      <c r="AX82" t="s">
        <v>74</v>
      </c>
      <c r="AY82" t="s">
        <v>74</v>
      </c>
      <c r="AZ82" t="s">
        <v>74</v>
      </c>
      <c r="BA82" t="s">
        <v>74</v>
      </c>
      <c r="BB82">
        <v>1383</v>
      </c>
      <c r="BC82">
        <v>1387</v>
      </c>
      <c r="BD82" t="s">
        <v>74</v>
      </c>
      <c r="BE82" t="s">
        <v>1317</v>
      </c>
      <c r="BF82" t="str">
        <f>HYPERLINK("http://dx.doi.org/10.1021/np010297u","http://dx.doi.org/10.1021/np010297u")</f>
        <v>http://dx.doi.org/10.1021/np010297u</v>
      </c>
      <c r="BG82" t="s">
        <v>74</v>
      </c>
      <c r="BH82" t="s">
        <v>74</v>
      </c>
      <c r="BI82">
        <v>5</v>
      </c>
      <c r="BJ82" t="s">
        <v>1318</v>
      </c>
      <c r="BK82" t="s">
        <v>1319</v>
      </c>
      <c r="BL82" t="s">
        <v>1320</v>
      </c>
      <c r="BM82" t="s">
        <v>1321</v>
      </c>
      <c r="BN82">
        <v>11720518</v>
      </c>
      <c r="BO82" t="s">
        <v>74</v>
      </c>
      <c r="BP82" t="s">
        <v>74</v>
      </c>
      <c r="BQ82" t="s">
        <v>74</v>
      </c>
      <c r="BR82" t="s">
        <v>91</v>
      </c>
      <c r="BS82" t="s">
        <v>1322</v>
      </c>
      <c r="BT82" t="str">
        <f>HYPERLINK("https%3A%2F%2Fwww.webofscience.com%2Fwos%2Fwoscc%2Ffull-record%2FWOS:000172496200001","View Full Record in Web of Science")</f>
        <v>View Full Record in Web of Science</v>
      </c>
    </row>
    <row r="83" spans="1:72" x14ac:dyDescent="0.15">
      <c r="A83" t="s">
        <v>72</v>
      </c>
      <c r="B83" t="s">
        <v>1323</v>
      </c>
      <c r="C83" t="s">
        <v>74</v>
      </c>
      <c r="D83" t="s">
        <v>74</v>
      </c>
      <c r="E83" t="s">
        <v>74</v>
      </c>
      <c r="F83" t="s">
        <v>1323</v>
      </c>
      <c r="G83" t="s">
        <v>74</v>
      </c>
      <c r="H83" t="s">
        <v>74</v>
      </c>
      <c r="I83" t="s">
        <v>1324</v>
      </c>
      <c r="J83" t="s">
        <v>1325</v>
      </c>
      <c r="K83" t="s">
        <v>74</v>
      </c>
      <c r="L83" t="s">
        <v>74</v>
      </c>
      <c r="M83" t="s">
        <v>77</v>
      </c>
      <c r="N83" t="s">
        <v>120</v>
      </c>
      <c r="O83" t="s">
        <v>74</v>
      </c>
      <c r="P83" t="s">
        <v>74</v>
      </c>
      <c r="Q83" t="s">
        <v>74</v>
      </c>
      <c r="R83" t="s">
        <v>74</v>
      </c>
      <c r="S83" t="s">
        <v>74</v>
      </c>
      <c r="T83" t="s">
        <v>1326</v>
      </c>
      <c r="U83" t="s">
        <v>1327</v>
      </c>
      <c r="V83" t="s">
        <v>1328</v>
      </c>
      <c r="W83" t="s">
        <v>1329</v>
      </c>
      <c r="X83" t="s">
        <v>1330</v>
      </c>
      <c r="Y83" t="s">
        <v>1331</v>
      </c>
      <c r="Z83" t="s">
        <v>74</v>
      </c>
      <c r="AA83" t="s">
        <v>1332</v>
      </c>
      <c r="AB83" t="s">
        <v>1333</v>
      </c>
      <c r="AC83" t="s">
        <v>74</v>
      </c>
      <c r="AD83" t="s">
        <v>74</v>
      </c>
      <c r="AE83" t="s">
        <v>74</v>
      </c>
      <c r="AF83" t="s">
        <v>74</v>
      </c>
      <c r="AG83">
        <v>57</v>
      </c>
      <c r="AH83">
        <v>22</v>
      </c>
      <c r="AI83">
        <v>25</v>
      </c>
      <c r="AJ83">
        <v>0</v>
      </c>
      <c r="AK83">
        <v>17</v>
      </c>
      <c r="AL83" t="s">
        <v>182</v>
      </c>
      <c r="AM83" t="s">
        <v>183</v>
      </c>
      <c r="AN83" t="s">
        <v>184</v>
      </c>
      <c r="AO83" t="s">
        <v>1334</v>
      </c>
      <c r="AP83" t="s">
        <v>74</v>
      </c>
      <c r="AQ83" t="s">
        <v>74</v>
      </c>
      <c r="AR83" t="s">
        <v>1335</v>
      </c>
      <c r="AS83" t="s">
        <v>1336</v>
      </c>
      <c r="AT83" t="s">
        <v>737</v>
      </c>
      <c r="AU83">
        <v>2001</v>
      </c>
      <c r="AV83">
        <v>158</v>
      </c>
      <c r="AW83">
        <v>11</v>
      </c>
      <c r="AX83" t="s">
        <v>74</v>
      </c>
      <c r="AY83" t="s">
        <v>74</v>
      </c>
      <c r="AZ83" t="s">
        <v>74</v>
      </c>
      <c r="BA83" t="s">
        <v>74</v>
      </c>
      <c r="BB83">
        <v>1403</v>
      </c>
      <c r="BC83">
        <v>1413</v>
      </c>
      <c r="BD83" t="s">
        <v>74</v>
      </c>
      <c r="BE83" t="s">
        <v>1337</v>
      </c>
      <c r="BF83" t="str">
        <f>HYPERLINK("http://dx.doi.org/10.1078/0176-1617-00549","http://dx.doi.org/10.1078/0176-1617-00549")</f>
        <v>http://dx.doi.org/10.1078/0176-1617-00549</v>
      </c>
      <c r="BG83" t="s">
        <v>74</v>
      </c>
      <c r="BH83" t="s">
        <v>74</v>
      </c>
      <c r="BI83">
        <v>11</v>
      </c>
      <c r="BJ83" t="s">
        <v>357</v>
      </c>
      <c r="BK83" t="s">
        <v>88</v>
      </c>
      <c r="BL83" t="s">
        <v>357</v>
      </c>
      <c r="BM83" t="s">
        <v>1338</v>
      </c>
      <c r="BN83" t="s">
        <v>74</v>
      </c>
      <c r="BO83" t="s">
        <v>74</v>
      </c>
      <c r="BP83" t="s">
        <v>74</v>
      </c>
      <c r="BQ83" t="s">
        <v>74</v>
      </c>
      <c r="BR83" t="s">
        <v>91</v>
      </c>
      <c r="BS83" t="s">
        <v>1339</v>
      </c>
      <c r="BT83" t="str">
        <f>HYPERLINK("https%3A%2F%2Fwww.webofscience.com%2Fwos%2Fwoscc%2Ffull-record%2FWOS:000172442500006","View Full Record in Web of Science")</f>
        <v>View Full Record in Web of Science</v>
      </c>
    </row>
    <row r="84" spans="1:72" x14ac:dyDescent="0.15">
      <c r="A84" t="s">
        <v>72</v>
      </c>
      <c r="B84" t="s">
        <v>1340</v>
      </c>
      <c r="C84" t="s">
        <v>74</v>
      </c>
      <c r="D84" t="s">
        <v>74</v>
      </c>
      <c r="E84" t="s">
        <v>74</v>
      </c>
      <c r="F84" t="s">
        <v>1340</v>
      </c>
      <c r="G84" t="s">
        <v>74</v>
      </c>
      <c r="H84" t="s">
        <v>74</v>
      </c>
      <c r="I84" t="s">
        <v>1341</v>
      </c>
      <c r="J84" t="s">
        <v>1342</v>
      </c>
      <c r="K84" t="s">
        <v>74</v>
      </c>
      <c r="L84" t="s">
        <v>74</v>
      </c>
      <c r="M84" t="s">
        <v>77</v>
      </c>
      <c r="N84" t="s">
        <v>120</v>
      </c>
      <c r="O84" t="s">
        <v>74</v>
      </c>
      <c r="P84" t="s">
        <v>74</v>
      </c>
      <c r="Q84" t="s">
        <v>74</v>
      </c>
      <c r="R84" t="s">
        <v>74</v>
      </c>
      <c r="S84" t="s">
        <v>74</v>
      </c>
      <c r="T84" t="s">
        <v>74</v>
      </c>
      <c r="U84" t="s">
        <v>1343</v>
      </c>
      <c r="V84" t="s">
        <v>1344</v>
      </c>
      <c r="W84" t="s">
        <v>1345</v>
      </c>
      <c r="X84" t="s">
        <v>1346</v>
      </c>
      <c r="Y84" t="s">
        <v>1347</v>
      </c>
      <c r="Z84" t="s">
        <v>1348</v>
      </c>
      <c r="AA84" t="s">
        <v>1349</v>
      </c>
      <c r="AB84" t="s">
        <v>1350</v>
      </c>
      <c r="AC84" t="s">
        <v>74</v>
      </c>
      <c r="AD84" t="s">
        <v>74</v>
      </c>
      <c r="AE84" t="s">
        <v>74</v>
      </c>
      <c r="AF84" t="s">
        <v>74</v>
      </c>
      <c r="AG84">
        <v>41</v>
      </c>
      <c r="AH84">
        <v>8</v>
      </c>
      <c r="AI84">
        <v>8</v>
      </c>
      <c r="AJ84">
        <v>0</v>
      </c>
      <c r="AK84">
        <v>9</v>
      </c>
      <c r="AL84" t="s">
        <v>1351</v>
      </c>
      <c r="AM84" t="s">
        <v>1352</v>
      </c>
      <c r="AN84" t="s">
        <v>1353</v>
      </c>
      <c r="AO84" t="s">
        <v>1354</v>
      </c>
      <c r="AP84" t="s">
        <v>1355</v>
      </c>
      <c r="AQ84" t="s">
        <v>74</v>
      </c>
      <c r="AR84" t="s">
        <v>1356</v>
      </c>
      <c r="AS84" t="s">
        <v>1357</v>
      </c>
      <c r="AT84" t="s">
        <v>737</v>
      </c>
      <c r="AU84">
        <v>2001</v>
      </c>
      <c r="AV84">
        <v>110</v>
      </c>
      <c r="AW84">
        <v>5</v>
      </c>
      <c r="AX84">
        <v>1</v>
      </c>
      <c r="AY84" t="s">
        <v>74</v>
      </c>
      <c r="AZ84" t="s">
        <v>74</v>
      </c>
      <c r="BA84" t="s">
        <v>74</v>
      </c>
      <c r="BB84">
        <v>2315</v>
      </c>
      <c r="BC84">
        <v>2325</v>
      </c>
      <c r="BD84" t="s">
        <v>74</v>
      </c>
      <c r="BE84" t="s">
        <v>1358</v>
      </c>
      <c r="BF84" t="str">
        <f>HYPERLINK("http://dx.doi.org/10.1121/1.1400738","http://dx.doi.org/10.1121/1.1400738")</f>
        <v>http://dx.doi.org/10.1121/1.1400738</v>
      </c>
      <c r="BG84" t="s">
        <v>74</v>
      </c>
      <c r="BH84" t="s">
        <v>74</v>
      </c>
      <c r="BI84">
        <v>11</v>
      </c>
      <c r="BJ84" t="s">
        <v>1359</v>
      </c>
      <c r="BK84" t="s">
        <v>88</v>
      </c>
      <c r="BL84" t="s">
        <v>1359</v>
      </c>
      <c r="BM84" t="s">
        <v>1360</v>
      </c>
      <c r="BN84">
        <v>11757922</v>
      </c>
      <c r="BO84" t="s">
        <v>74</v>
      </c>
      <c r="BP84" t="s">
        <v>74</v>
      </c>
      <c r="BQ84" t="s">
        <v>74</v>
      </c>
      <c r="BR84" t="s">
        <v>91</v>
      </c>
      <c r="BS84" t="s">
        <v>1361</v>
      </c>
      <c r="BT84" t="str">
        <f>HYPERLINK("https%3A%2F%2Fwww.webofscience.com%2Fwos%2Fwoscc%2Ffull-record%2FWOS:000172160200009","View Full Record in Web of Science")</f>
        <v>View Full Record in Web of Science</v>
      </c>
    </row>
    <row r="85" spans="1:72" x14ac:dyDescent="0.15">
      <c r="A85" t="s">
        <v>72</v>
      </c>
      <c r="B85" t="s">
        <v>1362</v>
      </c>
      <c r="C85" t="s">
        <v>74</v>
      </c>
      <c r="D85" t="s">
        <v>74</v>
      </c>
      <c r="E85" t="s">
        <v>74</v>
      </c>
      <c r="F85" t="s">
        <v>1362</v>
      </c>
      <c r="G85" t="s">
        <v>74</v>
      </c>
      <c r="H85" t="s">
        <v>74</v>
      </c>
      <c r="I85" t="s">
        <v>1363</v>
      </c>
      <c r="J85" t="s">
        <v>1364</v>
      </c>
      <c r="K85" t="s">
        <v>74</v>
      </c>
      <c r="L85" t="s">
        <v>74</v>
      </c>
      <c r="M85" t="s">
        <v>77</v>
      </c>
      <c r="N85" t="s">
        <v>120</v>
      </c>
      <c r="O85" t="s">
        <v>74</v>
      </c>
      <c r="P85" t="s">
        <v>74</v>
      </c>
      <c r="Q85" t="s">
        <v>74</v>
      </c>
      <c r="R85" t="s">
        <v>74</v>
      </c>
      <c r="S85" t="s">
        <v>74</v>
      </c>
      <c r="T85" t="s">
        <v>1365</v>
      </c>
      <c r="U85" t="s">
        <v>1366</v>
      </c>
      <c r="V85" t="s">
        <v>1367</v>
      </c>
      <c r="W85" t="s">
        <v>1368</v>
      </c>
      <c r="X85" t="s">
        <v>1369</v>
      </c>
      <c r="Y85" t="s">
        <v>1370</v>
      </c>
      <c r="Z85" t="s">
        <v>1371</v>
      </c>
      <c r="AA85" t="s">
        <v>74</v>
      </c>
      <c r="AB85" t="s">
        <v>74</v>
      </c>
      <c r="AC85" t="s">
        <v>74</v>
      </c>
      <c r="AD85" t="s">
        <v>74</v>
      </c>
      <c r="AE85" t="s">
        <v>74</v>
      </c>
      <c r="AF85" t="s">
        <v>74</v>
      </c>
      <c r="AG85">
        <v>47</v>
      </c>
      <c r="AH85">
        <v>35</v>
      </c>
      <c r="AI85">
        <v>39</v>
      </c>
      <c r="AJ85">
        <v>0</v>
      </c>
      <c r="AK85">
        <v>14</v>
      </c>
      <c r="AL85" t="s">
        <v>1372</v>
      </c>
      <c r="AM85" t="s">
        <v>1373</v>
      </c>
      <c r="AN85" t="s">
        <v>1374</v>
      </c>
      <c r="AO85" t="s">
        <v>1375</v>
      </c>
      <c r="AP85" t="s">
        <v>1376</v>
      </c>
      <c r="AQ85" t="s">
        <v>74</v>
      </c>
      <c r="AR85" t="s">
        <v>1377</v>
      </c>
      <c r="AS85" t="s">
        <v>1378</v>
      </c>
      <c r="AT85" t="s">
        <v>737</v>
      </c>
      <c r="AU85">
        <v>2001</v>
      </c>
      <c r="AV85">
        <v>158</v>
      </c>
      <c r="AW85" t="s">
        <v>74</v>
      </c>
      <c r="AX85">
        <v>6</v>
      </c>
      <c r="AY85" t="s">
        <v>74</v>
      </c>
      <c r="AZ85" t="s">
        <v>74</v>
      </c>
      <c r="BA85" t="s">
        <v>74</v>
      </c>
      <c r="BB85">
        <v>925</v>
      </c>
      <c r="BC85">
        <v>935</v>
      </c>
      <c r="BD85" t="s">
        <v>74</v>
      </c>
      <c r="BE85" t="s">
        <v>1379</v>
      </c>
      <c r="BF85" t="str">
        <f>HYPERLINK("http://dx.doi.org/10.1144/0016-764901-030","http://dx.doi.org/10.1144/0016-764901-030")</f>
        <v>http://dx.doi.org/10.1144/0016-764901-030</v>
      </c>
      <c r="BG85" t="s">
        <v>74</v>
      </c>
      <c r="BH85" t="s">
        <v>74</v>
      </c>
      <c r="BI85">
        <v>11</v>
      </c>
      <c r="BJ85" t="s">
        <v>300</v>
      </c>
      <c r="BK85" t="s">
        <v>88</v>
      </c>
      <c r="BL85" t="s">
        <v>113</v>
      </c>
      <c r="BM85" t="s">
        <v>1380</v>
      </c>
      <c r="BN85" t="s">
        <v>74</v>
      </c>
      <c r="BO85" t="s">
        <v>74</v>
      </c>
      <c r="BP85" t="s">
        <v>74</v>
      </c>
      <c r="BQ85" t="s">
        <v>74</v>
      </c>
      <c r="BR85" t="s">
        <v>91</v>
      </c>
      <c r="BS85" t="s">
        <v>1381</v>
      </c>
      <c r="BT85" t="str">
        <f>HYPERLINK("https%3A%2F%2Fwww.webofscience.com%2Fwos%2Fwoscc%2Ffull-record%2FWOS:000172494100005","View Full Record in Web of Science")</f>
        <v>View Full Record in Web of Science</v>
      </c>
    </row>
    <row r="86" spans="1:72" x14ac:dyDescent="0.15">
      <c r="A86" t="s">
        <v>72</v>
      </c>
      <c r="B86" t="s">
        <v>1382</v>
      </c>
      <c r="C86" t="s">
        <v>74</v>
      </c>
      <c r="D86" t="s">
        <v>74</v>
      </c>
      <c r="E86" t="s">
        <v>74</v>
      </c>
      <c r="F86" t="s">
        <v>1382</v>
      </c>
      <c r="G86" t="s">
        <v>74</v>
      </c>
      <c r="H86" t="s">
        <v>74</v>
      </c>
      <c r="I86" t="s">
        <v>1383</v>
      </c>
      <c r="J86" t="s">
        <v>1364</v>
      </c>
      <c r="K86" t="s">
        <v>74</v>
      </c>
      <c r="L86" t="s">
        <v>74</v>
      </c>
      <c r="M86" t="s">
        <v>77</v>
      </c>
      <c r="N86" t="s">
        <v>120</v>
      </c>
      <c r="O86" t="s">
        <v>74</v>
      </c>
      <c r="P86" t="s">
        <v>74</v>
      </c>
      <c r="Q86" t="s">
        <v>74</v>
      </c>
      <c r="R86" t="s">
        <v>74</v>
      </c>
      <c r="S86" t="s">
        <v>74</v>
      </c>
      <c r="T86" t="s">
        <v>1384</v>
      </c>
      <c r="U86" t="s">
        <v>1385</v>
      </c>
      <c r="V86" t="s">
        <v>1386</v>
      </c>
      <c r="W86" t="s">
        <v>1387</v>
      </c>
      <c r="X86" t="s">
        <v>1388</v>
      </c>
      <c r="Y86" t="s">
        <v>1389</v>
      </c>
      <c r="Z86" t="s">
        <v>74</v>
      </c>
      <c r="AA86" t="s">
        <v>1390</v>
      </c>
      <c r="AB86" t="s">
        <v>1391</v>
      </c>
      <c r="AC86" t="s">
        <v>74</v>
      </c>
      <c r="AD86" t="s">
        <v>74</v>
      </c>
      <c r="AE86" t="s">
        <v>74</v>
      </c>
      <c r="AF86" t="s">
        <v>74</v>
      </c>
      <c r="AG86">
        <v>96</v>
      </c>
      <c r="AH86">
        <v>66</v>
      </c>
      <c r="AI86">
        <v>66</v>
      </c>
      <c r="AJ86">
        <v>0</v>
      </c>
      <c r="AK86">
        <v>6</v>
      </c>
      <c r="AL86" t="s">
        <v>1372</v>
      </c>
      <c r="AM86" t="s">
        <v>1373</v>
      </c>
      <c r="AN86" t="s">
        <v>1374</v>
      </c>
      <c r="AO86" t="s">
        <v>1375</v>
      </c>
      <c r="AP86" t="s">
        <v>1376</v>
      </c>
      <c r="AQ86" t="s">
        <v>74</v>
      </c>
      <c r="AR86" t="s">
        <v>1377</v>
      </c>
      <c r="AS86" t="s">
        <v>1378</v>
      </c>
      <c r="AT86" t="s">
        <v>737</v>
      </c>
      <c r="AU86">
        <v>2001</v>
      </c>
      <c r="AV86">
        <v>158</v>
      </c>
      <c r="AW86" t="s">
        <v>74</v>
      </c>
      <c r="AX86">
        <v>6</v>
      </c>
      <c r="AY86" t="s">
        <v>74</v>
      </c>
      <c r="AZ86" t="s">
        <v>74</v>
      </c>
      <c r="BA86" t="s">
        <v>74</v>
      </c>
      <c r="BB86">
        <v>983</v>
      </c>
      <c r="BC86">
        <v>994</v>
      </c>
      <c r="BD86" t="s">
        <v>74</v>
      </c>
      <c r="BE86" t="s">
        <v>1392</v>
      </c>
      <c r="BF86" t="str">
        <f>HYPERLINK("http://dx.doi.org/10.1144/0016-764900-186","http://dx.doi.org/10.1144/0016-764900-186")</f>
        <v>http://dx.doi.org/10.1144/0016-764900-186</v>
      </c>
      <c r="BG86" t="s">
        <v>74</v>
      </c>
      <c r="BH86" t="s">
        <v>74</v>
      </c>
      <c r="BI86">
        <v>12</v>
      </c>
      <c r="BJ86" t="s">
        <v>300</v>
      </c>
      <c r="BK86" t="s">
        <v>88</v>
      </c>
      <c r="BL86" t="s">
        <v>113</v>
      </c>
      <c r="BM86" t="s">
        <v>1380</v>
      </c>
      <c r="BN86" t="s">
        <v>74</v>
      </c>
      <c r="BO86" t="s">
        <v>74</v>
      </c>
      <c r="BP86" t="s">
        <v>74</v>
      </c>
      <c r="BQ86" t="s">
        <v>74</v>
      </c>
      <c r="BR86" t="s">
        <v>91</v>
      </c>
      <c r="BS86" t="s">
        <v>1393</v>
      </c>
      <c r="BT86" t="str">
        <f>HYPERLINK("https%3A%2F%2Fwww.webofscience.com%2Fwos%2Fwoscc%2Ffull-record%2FWOS:000172494100009","View Full Record in Web of Science")</f>
        <v>View Full Record in Web of Science</v>
      </c>
    </row>
    <row r="87" spans="1:72" x14ac:dyDescent="0.15">
      <c r="A87" t="s">
        <v>72</v>
      </c>
      <c r="B87" t="s">
        <v>1394</v>
      </c>
      <c r="C87" t="s">
        <v>74</v>
      </c>
      <c r="D87" t="s">
        <v>74</v>
      </c>
      <c r="E87" t="s">
        <v>74</v>
      </c>
      <c r="F87" t="s">
        <v>1394</v>
      </c>
      <c r="G87" t="s">
        <v>74</v>
      </c>
      <c r="H87" t="s">
        <v>74</v>
      </c>
      <c r="I87" t="s">
        <v>1395</v>
      </c>
      <c r="J87" t="s">
        <v>1396</v>
      </c>
      <c r="K87" t="s">
        <v>74</v>
      </c>
      <c r="L87" t="s">
        <v>74</v>
      </c>
      <c r="M87" t="s">
        <v>77</v>
      </c>
      <c r="N87" t="s">
        <v>120</v>
      </c>
      <c r="O87" t="s">
        <v>74</v>
      </c>
      <c r="P87" t="s">
        <v>74</v>
      </c>
      <c r="Q87" t="s">
        <v>74</v>
      </c>
      <c r="R87" t="s">
        <v>74</v>
      </c>
      <c r="S87" t="s">
        <v>74</v>
      </c>
      <c r="T87" t="s">
        <v>1397</v>
      </c>
      <c r="U87" t="s">
        <v>1398</v>
      </c>
      <c r="V87" t="s">
        <v>1399</v>
      </c>
      <c r="W87" t="s">
        <v>1400</v>
      </c>
      <c r="X87" t="s">
        <v>1401</v>
      </c>
      <c r="Y87" t="s">
        <v>1402</v>
      </c>
      <c r="Z87" t="s">
        <v>74</v>
      </c>
      <c r="AA87" t="s">
        <v>1403</v>
      </c>
      <c r="AB87" t="s">
        <v>1404</v>
      </c>
      <c r="AC87" t="s">
        <v>74</v>
      </c>
      <c r="AD87" t="s">
        <v>74</v>
      </c>
      <c r="AE87" t="s">
        <v>74</v>
      </c>
      <c r="AF87" t="s">
        <v>74</v>
      </c>
      <c r="AG87">
        <v>34</v>
      </c>
      <c r="AH87">
        <v>12</v>
      </c>
      <c r="AI87">
        <v>14</v>
      </c>
      <c r="AJ87">
        <v>2</v>
      </c>
      <c r="AK87">
        <v>20</v>
      </c>
      <c r="AL87" t="s">
        <v>79</v>
      </c>
      <c r="AM87" t="s">
        <v>80</v>
      </c>
      <c r="AN87" t="s">
        <v>81</v>
      </c>
      <c r="AO87" t="s">
        <v>1405</v>
      </c>
      <c r="AP87" t="s">
        <v>74</v>
      </c>
      <c r="AQ87" t="s">
        <v>74</v>
      </c>
      <c r="AR87" t="s">
        <v>1406</v>
      </c>
      <c r="AS87" t="s">
        <v>1407</v>
      </c>
      <c r="AT87" t="s">
        <v>737</v>
      </c>
      <c r="AU87">
        <v>2001</v>
      </c>
      <c r="AV87">
        <v>26</v>
      </c>
      <c r="AW87">
        <v>6</v>
      </c>
      <c r="AX87" t="s">
        <v>74</v>
      </c>
      <c r="AY87" t="s">
        <v>74</v>
      </c>
      <c r="AZ87" t="s">
        <v>74</v>
      </c>
      <c r="BA87" t="s">
        <v>74</v>
      </c>
      <c r="BB87">
        <v>555</v>
      </c>
      <c r="BC87">
        <v>562</v>
      </c>
      <c r="BD87" t="s">
        <v>74</v>
      </c>
      <c r="BE87" t="s">
        <v>1408</v>
      </c>
      <c r="BF87" t="str">
        <f>HYPERLINK("http://dx.doi.org/10.1016/S0306-4565(00)00049-8","http://dx.doi.org/10.1016/S0306-4565(00)00049-8")</f>
        <v>http://dx.doi.org/10.1016/S0306-4565(00)00049-8</v>
      </c>
      <c r="BG87" t="s">
        <v>74</v>
      </c>
      <c r="BH87" t="s">
        <v>74</v>
      </c>
      <c r="BI87">
        <v>8</v>
      </c>
      <c r="BJ87" t="s">
        <v>1409</v>
      </c>
      <c r="BK87" t="s">
        <v>88</v>
      </c>
      <c r="BL87" t="s">
        <v>1410</v>
      </c>
      <c r="BM87" t="s">
        <v>1411</v>
      </c>
      <c r="BN87" t="s">
        <v>74</v>
      </c>
      <c r="BO87" t="s">
        <v>74</v>
      </c>
      <c r="BP87" t="s">
        <v>74</v>
      </c>
      <c r="BQ87" t="s">
        <v>74</v>
      </c>
      <c r="BR87" t="s">
        <v>91</v>
      </c>
      <c r="BS87" t="s">
        <v>1412</v>
      </c>
      <c r="BT87" t="str">
        <f>HYPERLINK("https%3A%2F%2Fwww.webofscience.com%2Fwos%2Fwoscc%2Ffull-record%2FWOS:000172107100004","View Full Record in Web of Science")</f>
        <v>View Full Record in Web of Science</v>
      </c>
    </row>
    <row r="88" spans="1:72" x14ac:dyDescent="0.15">
      <c r="A88" t="s">
        <v>72</v>
      </c>
      <c r="B88" t="s">
        <v>1413</v>
      </c>
      <c r="C88" t="s">
        <v>74</v>
      </c>
      <c r="D88" t="s">
        <v>74</v>
      </c>
      <c r="E88" t="s">
        <v>74</v>
      </c>
      <c r="F88" t="s">
        <v>1413</v>
      </c>
      <c r="G88" t="s">
        <v>74</v>
      </c>
      <c r="H88" t="s">
        <v>74</v>
      </c>
      <c r="I88" t="s">
        <v>1414</v>
      </c>
      <c r="J88" t="s">
        <v>1415</v>
      </c>
      <c r="K88" t="s">
        <v>74</v>
      </c>
      <c r="L88" t="s">
        <v>74</v>
      </c>
      <c r="M88" t="s">
        <v>77</v>
      </c>
      <c r="N88" t="s">
        <v>120</v>
      </c>
      <c r="O88" t="s">
        <v>74</v>
      </c>
      <c r="P88" t="s">
        <v>74</v>
      </c>
      <c r="Q88" t="s">
        <v>74</v>
      </c>
      <c r="R88" t="s">
        <v>74</v>
      </c>
      <c r="S88" t="s">
        <v>74</v>
      </c>
      <c r="T88" t="s">
        <v>74</v>
      </c>
      <c r="U88" t="s">
        <v>1416</v>
      </c>
      <c r="V88" t="s">
        <v>1417</v>
      </c>
      <c r="W88" t="s">
        <v>1418</v>
      </c>
      <c r="X88" t="s">
        <v>1419</v>
      </c>
      <c r="Y88" t="s">
        <v>1420</v>
      </c>
      <c r="Z88" t="s">
        <v>74</v>
      </c>
      <c r="AA88" t="s">
        <v>74</v>
      </c>
      <c r="AB88" t="s">
        <v>74</v>
      </c>
      <c r="AC88" t="s">
        <v>74</v>
      </c>
      <c r="AD88" t="s">
        <v>74</v>
      </c>
      <c r="AE88" t="s">
        <v>74</v>
      </c>
      <c r="AF88" t="s">
        <v>74</v>
      </c>
      <c r="AG88">
        <v>35</v>
      </c>
      <c r="AH88">
        <v>67</v>
      </c>
      <c r="AI88">
        <v>72</v>
      </c>
      <c r="AJ88">
        <v>0</v>
      </c>
      <c r="AK88">
        <v>24</v>
      </c>
      <c r="AL88" t="s">
        <v>203</v>
      </c>
      <c r="AM88" t="s">
        <v>204</v>
      </c>
      <c r="AN88" t="s">
        <v>205</v>
      </c>
      <c r="AO88" t="s">
        <v>1421</v>
      </c>
      <c r="AP88" t="s">
        <v>74</v>
      </c>
      <c r="AQ88" t="s">
        <v>74</v>
      </c>
      <c r="AR88" t="s">
        <v>1422</v>
      </c>
      <c r="AS88" t="s">
        <v>1423</v>
      </c>
      <c r="AT88" t="s">
        <v>737</v>
      </c>
      <c r="AU88">
        <v>2001</v>
      </c>
      <c r="AV88">
        <v>139</v>
      </c>
      <c r="AW88">
        <v>5</v>
      </c>
      <c r="AX88" t="s">
        <v>74</v>
      </c>
      <c r="AY88" t="s">
        <v>74</v>
      </c>
      <c r="AZ88" t="s">
        <v>74</v>
      </c>
      <c r="BA88" t="s">
        <v>74</v>
      </c>
      <c r="BB88">
        <v>1013</v>
      </c>
      <c r="BC88">
        <v>1019</v>
      </c>
      <c r="BD88" t="s">
        <v>74</v>
      </c>
      <c r="BE88" t="s">
        <v>74</v>
      </c>
      <c r="BF88" t="s">
        <v>74</v>
      </c>
      <c r="BG88" t="s">
        <v>74</v>
      </c>
      <c r="BH88" t="s">
        <v>74</v>
      </c>
      <c r="BI88">
        <v>7</v>
      </c>
      <c r="BJ88" t="s">
        <v>323</v>
      </c>
      <c r="BK88" t="s">
        <v>88</v>
      </c>
      <c r="BL88" t="s">
        <v>323</v>
      </c>
      <c r="BM88" t="s">
        <v>1424</v>
      </c>
      <c r="BN88" t="s">
        <v>74</v>
      </c>
      <c r="BO88" t="s">
        <v>74</v>
      </c>
      <c r="BP88" t="s">
        <v>74</v>
      </c>
      <c r="BQ88" t="s">
        <v>74</v>
      </c>
      <c r="BR88" t="s">
        <v>91</v>
      </c>
      <c r="BS88" t="s">
        <v>1425</v>
      </c>
      <c r="BT88" t="str">
        <f>HYPERLINK("https%3A%2F%2Fwww.webofscience.com%2Fwos%2Fwoscc%2Ffull-record%2FWOS:000172793500024","View Full Record in Web of Science")</f>
        <v>View Full Record in Web of Science</v>
      </c>
    </row>
    <row r="89" spans="1:72" x14ac:dyDescent="0.15">
      <c r="A89" t="s">
        <v>72</v>
      </c>
      <c r="B89" t="s">
        <v>1426</v>
      </c>
      <c r="C89" t="s">
        <v>74</v>
      </c>
      <c r="D89" t="s">
        <v>74</v>
      </c>
      <c r="E89" t="s">
        <v>74</v>
      </c>
      <c r="F89" t="s">
        <v>1426</v>
      </c>
      <c r="G89" t="s">
        <v>74</v>
      </c>
      <c r="H89" t="s">
        <v>74</v>
      </c>
      <c r="I89" t="s">
        <v>1427</v>
      </c>
      <c r="J89" t="s">
        <v>1428</v>
      </c>
      <c r="K89" t="s">
        <v>74</v>
      </c>
      <c r="L89" t="s">
        <v>74</v>
      </c>
      <c r="M89" t="s">
        <v>77</v>
      </c>
      <c r="N89" t="s">
        <v>120</v>
      </c>
      <c r="O89" t="s">
        <v>74</v>
      </c>
      <c r="P89" t="s">
        <v>74</v>
      </c>
      <c r="Q89" t="s">
        <v>74</v>
      </c>
      <c r="R89" t="s">
        <v>74</v>
      </c>
      <c r="S89" t="s">
        <v>74</v>
      </c>
      <c r="T89" t="s">
        <v>1429</v>
      </c>
      <c r="U89" t="s">
        <v>1430</v>
      </c>
      <c r="V89" t="s">
        <v>1431</v>
      </c>
      <c r="W89" t="s">
        <v>1432</v>
      </c>
      <c r="X89" t="s">
        <v>1433</v>
      </c>
      <c r="Y89" t="s">
        <v>1434</v>
      </c>
      <c r="Z89" t="s">
        <v>74</v>
      </c>
      <c r="AA89" t="s">
        <v>1435</v>
      </c>
      <c r="AB89" t="s">
        <v>1436</v>
      </c>
      <c r="AC89" t="s">
        <v>74</v>
      </c>
      <c r="AD89" t="s">
        <v>74</v>
      </c>
      <c r="AE89" t="s">
        <v>74</v>
      </c>
      <c r="AF89" t="s">
        <v>74</v>
      </c>
      <c r="AG89">
        <v>42</v>
      </c>
      <c r="AH89">
        <v>79</v>
      </c>
      <c r="AI89">
        <v>87</v>
      </c>
      <c r="AJ89">
        <v>1</v>
      </c>
      <c r="AK89">
        <v>26</v>
      </c>
      <c r="AL89" t="s">
        <v>488</v>
      </c>
      <c r="AM89" t="s">
        <v>350</v>
      </c>
      <c r="AN89" t="s">
        <v>489</v>
      </c>
      <c r="AO89" t="s">
        <v>1437</v>
      </c>
      <c r="AP89" t="s">
        <v>74</v>
      </c>
      <c r="AQ89" t="s">
        <v>74</v>
      </c>
      <c r="AR89" t="s">
        <v>1438</v>
      </c>
      <c r="AS89" t="s">
        <v>1439</v>
      </c>
      <c r="AT89" t="s">
        <v>737</v>
      </c>
      <c r="AU89">
        <v>2001</v>
      </c>
      <c r="AV89">
        <v>76</v>
      </c>
      <c r="AW89">
        <v>3</v>
      </c>
      <c r="AX89" t="s">
        <v>74</v>
      </c>
      <c r="AY89" t="s">
        <v>74</v>
      </c>
      <c r="AZ89" t="s">
        <v>74</v>
      </c>
      <c r="BA89" t="s">
        <v>74</v>
      </c>
      <c r="BB89">
        <v>189</v>
      </c>
      <c r="BC89">
        <v>209</v>
      </c>
      <c r="BD89" t="s">
        <v>74</v>
      </c>
      <c r="BE89" t="s">
        <v>1440</v>
      </c>
      <c r="BF89" t="str">
        <f>HYPERLINK("http://dx.doi.org/10.1016/S0304-4203(01)00063-9","http://dx.doi.org/10.1016/S0304-4203(01)00063-9")</f>
        <v>http://dx.doi.org/10.1016/S0304-4203(01)00063-9</v>
      </c>
      <c r="BG89" t="s">
        <v>74</v>
      </c>
      <c r="BH89" t="s">
        <v>74</v>
      </c>
      <c r="BI89">
        <v>21</v>
      </c>
      <c r="BJ89" t="s">
        <v>1441</v>
      </c>
      <c r="BK89" t="s">
        <v>88</v>
      </c>
      <c r="BL89" t="s">
        <v>1442</v>
      </c>
      <c r="BM89" t="s">
        <v>1443</v>
      </c>
      <c r="BN89" t="s">
        <v>74</v>
      </c>
      <c r="BO89" t="s">
        <v>74</v>
      </c>
      <c r="BP89" t="s">
        <v>74</v>
      </c>
      <c r="BQ89" t="s">
        <v>74</v>
      </c>
      <c r="BR89" t="s">
        <v>91</v>
      </c>
      <c r="BS89" t="s">
        <v>1444</v>
      </c>
      <c r="BT89" t="str">
        <f>HYPERLINK("https%3A%2F%2Fwww.webofscience.com%2Fwos%2Fwoscc%2Ffull-record%2FWOS:000171998700004","View Full Record in Web of Science")</f>
        <v>View Full Record in Web of Science</v>
      </c>
    </row>
    <row r="90" spans="1:72" x14ac:dyDescent="0.15">
      <c r="A90" t="s">
        <v>72</v>
      </c>
      <c r="B90" t="s">
        <v>1445</v>
      </c>
      <c r="C90" t="s">
        <v>74</v>
      </c>
      <c r="D90" t="s">
        <v>74</v>
      </c>
      <c r="E90" t="s">
        <v>74</v>
      </c>
      <c r="F90" t="s">
        <v>1445</v>
      </c>
      <c r="G90" t="s">
        <v>74</v>
      </c>
      <c r="H90" t="s">
        <v>74</v>
      </c>
      <c r="I90" t="s">
        <v>1446</v>
      </c>
      <c r="J90" t="s">
        <v>1447</v>
      </c>
      <c r="K90" t="s">
        <v>74</v>
      </c>
      <c r="L90" t="s">
        <v>74</v>
      </c>
      <c r="M90" t="s">
        <v>77</v>
      </c>
      <c r="N90" t="s">
        <v>120</v>
      </c>
      <c r="O90" t="s">
        <v>74</v>
      </c>
      <c r="P90" t="s">
        <v>74</v>
      </c>
      <c r="Q90" t="s">
        <v>74</v>
      </c>
      <c r="R90" t="s">
        <v>74</v>
      </c>
      <c r="S90" t="s">
        <v>74</v>
      </c>
      <c r="T90" t="s">
        <v>1448</v>
      </c>
      <c r="U90" t="s">
        <v>1449</v>
      </c>
      <c r="V90" t="s">
        <v>1450</v>
      </c>
      <c r="W90" t="s">
        <v>1451</v>
      </c>
      <c r="X90" t="s">
        <v>1452</v>
      </c>
      <c r="Y90" t="s">
        <v>1453</v>
      </c>
      <c r="Z90" t="s">
        <v>74</v>
      </c>
      <c r="AA90" t="s">
        <v>1454</v>
      </c>
      <c r="AB90" t="s">
        <v>1455</v>
      </c>
      <c r="AC90" t="s">
        <v>74</v>
      </c>
      <c r="AD90" t="s">
        <v>74</v>
      </c>
      <c r="AE90" t="s">
        <v>74</v>
      </c>
      <c r="AF90" t="s">
        <v>74</v>
      </c>
      <c r="AG90">
        <v>48</v>
      </c>
      <c r="AH90">
        <v>4</v>
      </c>
      <c r="AI90">
        <v>4</v>
      </c>
      <c r="AJ90">
        <v>0</v>
      </c>
      <c r="AK90">
        <v>1</v>
      </c>
      <c r="AL90" t="s">
        <v>488</v>
      </c>
      <c r="AM90" t="s">
        <v>350</v>
      </c>
      <c r="AN90" t="s">
        <v>489</v>
      </c>
      <c r="AO90" t="s">
        <v>1456</v>
      </c>
      <c r="AP90" t="s">
        <v>74</v>
      </c>
      <c r="AQ90" t="s">
        <v>74</v>
      </c>
      <c r="AR90" t="s">
        <v>1457</v>
      </c>
      <c r="AS90" t="s">
        <v>1458</v>
      </c>
      <c r="AT90" t="s">
        <v>737</v>
      </c>
      <c r="AU90">
        <v>2001</v>
      </c>
      <c r="AV90">
        <v>43</v>
      </c>
      <c r="AW90" t="s">
        <v>451</v>
      </c>
      <c r="AX90" t="s">
        <v>74</v>
      </c>
      <c r="AY90" t="s">
        <v>74</v>
      </c>
      <c r="AZ90" t="s">
        <v>74</v>
      </c>
      <c r="BA90" t="s">
        <v>74</v>
      </c>
      <c r="BB90">
        <v>207</v>
      </c>
      <c r="BC90">
        <v>221</v>
      </c>
      <c r="BD90" t="s">
        <v>74</v>
      </c>
      <c r="BE90" t="s">
        <v>1459</v>
      </c>
      <c r="BF90" t="str">
        <f>HYPERLINK("http://dx.doi.org/10.1016/S0377-8398(01)00026-3","http://dx.doi.org/10.1016/S0377-8398(01)00026-3")</f>
        <v>http://dx.doi.org/10.1016/S0377-8398(01)00026-3</v>
      </c>
      <c r="BG90" t="s">
        <v>74</v>
      </c>
      <c r="BH90" t="s">
        <v>74</v>
      </c>
      <c r="BI90">
        <v>15</v>
      </c>
      <c r="BJ90" t="s">
        <v>1460</v>
      </c>
      <c r="BK90" t="s">
        <v>88</v>
      </c>
      <c r="BL90" t="s">
        <v>1460</v>
      </c>
      <c r="BM90" t="s">
        <v>1461</v>
      </c>
      <c r="BN90" t="s">
        <v>74</v>
      </c>
      <c r="BO90" t="s">
        <v>74</v>
      </c>
      <c r="BP90" t="s">
        <v>74</v>
      </c>
      <c r="BQ90" t="s">
        <v>74</v>
      </c>
      <c r="BR90" t="s">
        <v>91</v>
      </c>
      <c r="BS90" t="s">
        <v>1462</v>
      </c>
      <c r="BT90" t="str">
        <f>HYPERLINK("https%3A%2F%2Fwww.webofscience.com%2Fwos%2Fwoscc%2Ffull-record%2FWOS:000172218900003","View Full Record in Web of Science")</f>
        <v>View Full Record in Web of Science</v>
      </c>
    </row>
    <row r="91" spans="1:72" x14ac:dyDescent="0.15">
      <c r="A91" t="s">
        <v>72</v>
      </c>
      <c r="B91" t="s">
        <v>73</v>
      </c>
      <c r="C91" t="s">
        <v>74</v>
      </c>
      <c r="D91" t="s">
        <v>74</v>
      </c>
      <c r="E91" t="s">
        <v>74</v>
      </c>
      <c r="F91" t="s">
        <v>73</v>
      </c>
      <c r="G91" t="s">
        <v>74</v>
      </c>
      <c r="H91" t="s">
        <v>74</v>
      </c>
      <c r="I91" t="s">
        <v>1463</v>
      </c>
      <c r="J91" t="s">
        <v>76</v>
      </c>
      <c r="K91" t="s">
        <v>74</v>
      </c>
      <c r="L91" t="s">
        <v>74</v>
      </c>
      <c r="M91" t="s">
        <v>77</v>
      </c>
      <c r="N91" t="s">
        <v>78</v>
      </c>
      <c r="O91" t="s">
        <v>74</v>
      </c>
      <c r="P91" t="s">
        <v>74</v>
      </c>
      <c r="Q91" t="s">
        <v>74</v>
      </c>
      <c r="R91" t="s">
        <v>74</v>
      </c>
      <c r="S91" t="s">
        <v>74</v>
      </c>
      <c r="T91" t="s">
        <v>74</v>
      </c>
      <c r="U91" t="s">
        <v>74</v>
      </c>
      <c r="V91" t="s">
        <v>74</v>
      </c>
      <c r="W91" t="s">
        <v>74</v>
      </c>
      <c r="X91" t="s">
        <v>74</v>
      </c>
      <c r="Y91" t="s">
        <v>74</v>
      </c>
      <c r="Z91" t="s">
        <v>74</v>
      </c>
      <c r="AA91" t="s">
        <v>74</v>
      </c>
      <c r="AB91" t="s">
        <v>74</v>
      </c>
      <c r="AC91" t="s">
        <v>74</v>
      </c>
      <c r="AD91" t="s">
        <v>74</v>
      </c>
      <c r="AE91" t="s">
        <v>74</v>
      </c>
      <c r="AF91" t="s">
        <v>74</v>
      </c>
      <c r="AG91">
        <v>0</v>
      </c>
      <c r="AH91">
        <v>0</v>
      </c>
      <c r="AI91">
        <v>0</v>
      </c>
      <c r="AJ91">
        <v>0</v>
      </c>
      <c r="AK91">
        <v>0</v>
      </c>
      <c r="AL91" t="s">
        <v>79</v>
      </c>
      <c r="AM91" t="s">
        <v>80</v>
      </c>
      <c r="AN91" t="s">
        <v>81</v>
      </c>
      <c r="AO91" t="s">
        <v>82</v>
      </c>
      <c r="AP91" t="s">
        <v>83</v>
      </c>
      <c r="AQ91" t="s">
        <v>74</v>
      </c>
      <c r="AR91" t="s">
        <v>84</v>
      </c>
      <c r="AS91" t="s">
        <v>85</v>
      </c>
      <c r="AT91" t="s">
        <v>737</v>
      </c>
      <c r="AU91">
        <v>2001</v>
      </c>
      <c r="AV91">
        <v>42</v>
      </c>
      <c r="AW91">
        <v>11</v>
      </c>
      <c r="AX91" t="s">
        <v>74</v>
      </c>
      <c r="AY91" t="s">
        <v>74</v>
      </c>
      <c r="AZ91" t="s">
        <v>74</v>
      </c>
      <c r="BA91" t="s">
        <v>74</v>
      </c>
      <c r="BB91">
        <v>1004</v>
      </c>
      <c r="BC91">
        <v>1004</v>
      </c>
      <c r="BD91" t="s">
        <v>74</v>
      </c>
      <c r="BE91" t="s">
        <v>74</v>
      </c>
      <c r="BF91" t="s">
        <v>74</v>
      </c>
      <c r="BG91" t="s">
        <v>74</v>
      </c>
      <c r="BH91" t="s">
        <v>74</v>
      </c>
      <c r="BI91">
        <v>1</v>
      </c>
      <c r="BJ91" t="s">
        <v>87</v>
      </c>
      <c r="BK91" t="s">
        <v>88</v>
      </c>
      <c r="BL91" t="s">
        <v>89</v>
      </c>
      <c r="BM91" t="s">
        <v>1464</v>
      </c>
      <c r="BN91" t="s">
        <v>74</v>
      </c>
      <c r="BO91" t="s">
        <v>74</v>
      </c>
      <c r="BP91" t="s">
        <v>74</v>
      </c>
      <c r="BQ91" t="s">
        <v>74</v>
      </c>
      <c r="BR91" t="s">
        <v>91</v>
      </c>
      <c r="BS91" t="s">
        <v>1465</v>
      </c>
      <c r="BT91" t="str">
        <f>HYPERLINK("https%3A%2F%2Fwww.webofscience.com%2Fwos%2Fwoscc%2Ffull-record%2FWOS:000172356900006","View Full Record in Web of Science")</f>
        <v>View Full Record in Web of Science</v>
      </c>
    </row>
    <row r="92" spans="1:72" x14ac:dyDescent="0.15">
      <c r="A92" t="s">
        <v>72</v>
      </c>
      <c r="B92" t="s">
        <v>1466</v>
      </c>
      <c r="C92" t="s">
        <v>74</v>
      </c>
      <c r="D92" t="s">
        <v>74</v>
      </c>
      <c r="E92" t="s">
        <v>74</v>
      </c>
      <c r="F92" t="s">
        <v>1466</v>
      </c>
      <c r="G92" t="s">
        <v>74</v>
      </c>
      <c r="H92" t="s">
        <v>74</v>
      </c>
      <c r="I92" t="s">
        <v>1467</v>
      </c>
      <c r="J92" t="s">
        <v>1468</v>
      </c>
      <c r="K92" t="s">
        <v>74</v>
      </c>
      <c r="L92" t="s">
        <v>74</v>
      </c>
      <c r="M92" t="s">
        <v>77</v>
      </c>
      <c r="N92" t="s">
        <v>120</v>
      </c>
      <c r="O92" t="s">
        <v>74</v>
      </c>
      <c r="P92" t="s">
        <v>74</v>
      </c>
      <c r="Q92" t="s">
        <v>74</v>
      </c>
      <c r="R92" t="s">
        <v>74</v>
      </c>
      <c r="S92" t="s">
        <v>74</v>
      </c>
      <c r="T92" t="s">
        <v>74</v>
      </c>
      <c r="U92" t="s">
        <v>1469</v>
      </c>
      <c r="V92" t="s">
        <v>1470</v>
      </c>
      <c r="W92" t="s">
        <v>1471</v>
      </c>
      <c r="X92" t="s">
        <v>1472</v>
      </c>
      <c r="Y92" t="s">
        <v>1473</v>
      </c>
      <c r="Z92" t="s">
        <v>74</v>
      </c>
      <c r="AA92" t="s">
        <v>1474</v>
      </c>
      <c r="AB92" t="s">
        <v>1475</v>
      </c>
      <c r="AC92" t="s">
        <v>74</v>
      </c>
      <c r="AD92" t="s">
        <v>74</v>
      </c>
      <c r="AE92" t="s">
        <v>74</v>
      </c>
      <c r="AF92" t="s">
        <v>74</v>
      </c>
      <c r="AG92">
        <v>49</v>
      </c>
      <c r="AH92">
        <v>12</v>
      </c>
      <c r="AI92">
        <v>13</v>
      </c>
      <c r="AJ92">
        <v>0</v>
      </c>
      <c r="AK92">
        <v>1</v>
      </c>
      <c r="AL92" t="s">
        <v>1476</v>
      </c>
      <c r="AM92" t="s">
        <v>1477</v>
      </c>
      <c r="AN92" t="s">
        <v>1478</v>
      </c>
      <c r="AO92" t="s">
        <v>1479</v>
      </c>
      <c r="AP92" t="s">
        <v>74</v>
      </c>
      <c r="AQ92" t="s">
        <v>74</v>
      </c>
      <c r="AR92" t="s">
        <v>1480</v>
      </c>
      <c r="AS92" t="s">
        <v>1481</v>
      </c>
      <c r="AT92" t="s">
        <v>737</v>
      </c>
      <c r="AU92">
        <v>2001</v>
      </c>
      <c r="AV92">
        <v>36</v>
      </c>
      <c r="AW92">
        <v>11</v>
      </c>
      <c r="AX92" t="s">
        <v>74</v>
      </c>
      <c r="AY92" t="s">
        <v>74</v>
      </c>
      <c r="AZ92" t="s">
        <v>74</v>
      </c>
      <c r="BA92" t="s">
        <v>74</v>
      </c>
      <c r="BB92">
        <v>1479</v>
      </c>
      <c r="BC92">
        <v>1494</v>
      </c>
      <c r="BD92" t="s">
        <v>74</v>
      </c>
      <c r="BE92" t="s">
        <v>1482</v>
      </c>
      <c r="BF92" t="str">
        <f>HYPERLINK("http://dx.doi.org/10.1111/j.1945-5100.2001.tb01840.x","http://dx.doi.org/10.1111/j.1945-5100.2001.tb01840.x")</f>
        <v>http://dx.doi.org/10.1111/j.1945-5100.2001.tb01840.x</v>
      </c>
      <c r="BG92" t="s">
        <v>74</v>
      </c>
      <c r="BH92" t="s">
        <v>74</v>
      </c>
      <c r="BI92">
        <v>16</v>
      </c>
      <c r="BJ92" t="s">
        <v>388</v>
      </c>
      <c r="BK92" t="s">
        <v>88</v>
      </c>
      <c r="BL92" t="s">
        <v>388</v>
      </c>
      <c r="BM92" t="s">
        <v>1483</v>
      </c>
      <c r="BN92" t="s">
        <v>74</v>
      </c>
      <c r="BO92" t="s">
        <v>171</v>
      </c>
      <c r="BP92" t="s">
        <v>74</v>
      </c>
      <c r="BQ92" t="s">
        <v>74</v>
      </c>
      <c r="BR92" t="s">
        <v>91</v>
      </c>
      <c r="BS92" t="s">
        <v>1484</v>
      </c>
      <c r="BT92" t="str">
        <f>HYPERLINK("https%3A%2F%2Fwww.webofscience.com%2Fwos%2Fwoscc%2Ffull-record%2FWOS:000172736900006","View Full Record in Web of Science")</f>
        <v>View Full Record in Web of Science</v>
      </c>
    </row>
    <row r="93" spans="1:72" x14ac:dyDescent="0.15">
      <c r="A93" t="s">
        <v>72</v>
      </c>
      <c r="B93" t="s">
        <v>1485</v>
      </c>
      <c r="C93" t="s">
        <v>74</v>
      </c>
      <c r="D93" t="s">
        <v>74</v>
      </c>
      <c r="E93" t="s">
        <v>74</v>
      </c>
      <c r="F93" t="s">
        <v>1485</v>
      </c>
      <c r="G93" t="s">
        <v>74</v>
      </c>
      <c r="H93" t="s">
        <v>74</v>
      </c>
      <c r="I93" t="s">
        <v>1486</v>
      </c>
      <c r="J93" t="s">
        <v>1487</v>
      </c>
      <c r="K93" t="s">
        <v>74</v>
      </c>
      <c r="L93" t="s">
        <v>74</v>
      </c>
      <c r="M93" t="s">
        <v>77</v>
      </c>
      <c r="N93" t="s">
        <v>120</v>
      </c>
      <c r="O93" t="s">
        <v>74</v>
      </c>
      <c r="P93" t="s">
        <v>74</v>
      </c>
      <c r="Q93" t="s">
        <v>74</v>
      </c>
      <c r="R93" t="s">
        <v>74</v>
      </c>
      <c r="S93" t="s">
        <v>74</v>
      </c>
      <c r="T93" t="s">
        <v>1488</v>
      </c>
      <c r="U93" t="s">
        <v>1489</v>
      </c>
      <c r="V93" t="s">
        <v>1490</v>
      </c>
      <c r="W93" t="s">
        <v>1491</v>
      </c>
      <c r="X93" t="s">
        <v>1492</v>
      </c>
      <c r="Y93" t="s">
        <v>1493</v>
      </c>
      <c r="Z93" t="s">
        <v>74</v>
      </c>
      <c r="AA93" t="s">
        <v>74</v>
      </c>
      <c r="AB93" t="s">
        <v>74</v>
      </c>
      <c r="AC93" t="s">
        <v>74</v>
      </c>
      <c r="AD93" t="s">
        <v>74</v>
      </c>
      <c r="AE93" t="s">
        <v>74</v>
      </c>
      <c r="AF93" t="s">
        <v>74</v>
      </c>
      <c r="AG93">
        <v>22</v>
      </c>
      <c r="AH93">
        <v>9</v>
      </c>
      <c r="AI93">
        <v>11</v>
      </c>
      <c r="AJ93">
        <v>0</v>
      </c>
      <c r="AK93">
        <v>15</v>
      </c>
      <c r="AL93" t="s">
        <v>1494</v>
      </c>
      <c r="AM93" t="s">
        <v>204</v>
      </c>
      <c r="AN93" t="s">
        <v>1495</v>
      </c>
      <c r="AO93" t="s">
        <v>1496</v>
      </c>
      <c r="AP93" t="s">
        <v>1497</v>
      </c>
      <c r="AQ93" t="s">
        <v>74</v>
      </c>
      <c r="AR93" t="s">
        <v>1498</v>
      </c>
      <c r="AS93" t="s">
        <v>1196</v>
      </c>
      <c r="AT93" t="s">
        <v>1499</v>
      </c>
      <c r="AU93">
        <v>2001</v>
      </c>
      <c r="AV93">
        <v>70</v>
      </c>
      <c r="AW93">
        <v>6</v>
      </c>
      <c r="AX93" t="s">
        <v>74</v>
      </c>
      <c r="AY93" t="s">
        <v>74</v>
      </c>
      <c r="AZ93" t="s">
        <v>74</v>
      </c>
      <c r="BA93" t="s">
        <v>74</v>
      </c>
      <c r="BB93">
        <v>723</v>
      </c>
      <c r="BC93">
        <v>730</v>
      </c>
      <c r="BD93" t="s">
        <v>74</v>
      </c>
      <c r="BE93" t="s">
        <v>1500</v>
      </c>
      <c r="BF93" t="str">
        <f>HYPERLINK("http://dx.doi.org/10.1023/A:1013148101626","http://dx.doi.org/10.1023/A:1013148101626")</f>
        <v>http://dx.doi.org/10.1023/A:1013148101626</v>
      </c>
      <c r="BG93" t="s">
        <v>74</v>
      </c>
      <c r="BH93" t="s">
        <v>74</v>
      </c>
      <c r="BI93">
        <v>8</v>
      </c>
      <c r="BJ93" t="s">
        <v>1196</v>
      </c>
      <c r="BK93" t="s">
        <v>88</v>
      </c>
      <c r="BL93" t="s">
        <v>1196</v>
      </c>
      <c r="BM93" t="s">
        <v>1501</v>
      </c>
      <c r="BN93" t="s">
        <v>74</v>
      </c>
      <c r="BO93" t="s">
        <v>74</v>
      </c>
      <c r="BP93" t="s">
        <v>74</v>
      </c>
      <c r="BQ93" t="s">
        <v>74</v>
      </c>
      <c r="BR93" t="s">
        <v>91</v>
      </c>
      <c r="BS93" t="s">
        <v>1502</v>
      </c>
      <c r="BT93" t="str">
        <f>HYPERLINK("https%3A%2F%2Fwww.webofscience.com%2Fwos%2Fwoscc%2Ffull-record%2FWOS:000173123100014","View Full Record in Web of Science")</f>
        <v>View Full Record in Web of Science</v>
      </c>
    </row>
    <row r="94" spans="1:72" x14ac:dyDescent="0.15">
      <c r="A94" t="s">
        <v>72</v>
      </c>
      <c r="B94" t="s">
        <v>1503</v>
      </c>
      <c r="C94" t="s">
        <v>74</v>
      </c>
      <c r="D94" t="s">
        <v>74</v>
      </c>
      <c r="E94" t="s">
        <v>74</v>
      </c>
      <c r="F94" t="s">
        <v>1503</v>
      </c>
      <c r="G94" t="s">
        <v>74</v>
      </c>
      <c r="H94" t="s">
        <v>74</v>
      </c>
      <c r="I94" t="s">
        <v>1504</v>
      </c>
      <c r="J94" t="s">
        <v>1505</v>
      </c>
      <c r="K94" t="s">
        <v>74</v>
      </c>
      <c r="L94" t="s">
        <v>74</v>
      </c>
      <c r="M94" t="s">
        <v>77</v>
      </c>
      <c r="N94" t="s">
        <v>120</v>
      </c>
      <c r="O94" t="s">
        <v>74</v>
      </c>
      <c r="P94" t="s">
        <v>74</v>
      </c>
      <c r="Q94" t="s">
        <v>74</v>
      </c>
      <c r="R94" t="s">
        <v>74</v>
      </c>
      <c r="S94" t="s">
        <v>74</v>
      </c>
      <c r="T94" t="s">
        <v>74</v>
      </c>
      <c r="U94" t="s">
        <v>1506</v>
      </c>
      <c r="V94" t="s">
        <v>1507</v>
      </c>
      <c r="W94" t="s">
        <v>1508</v>
      </c>
      <c r="X94" t="s">
        <v>1509</v>
      </c>
      <c r="Y94" t="s">
        <v>1510</v>
      </c>
      <c r="Z94" t="s">
        <v>74</v>
      </c>
      <c r="AA94" t="s">
        <v>74</v>
      </c>
      <c r="AB94" t="s">
        <v>74</v>
      </c>
      <c r="AC94" t="s">
        <v>74</v>
      </c>
      <c r="AD94" t="s">
        <v>74</v>
      </c>
      <c r="AE94" t="s">
        <v>74</v>
      </c>
      <c r="AF94" t="s">
        <v>74</v>
      </c>
      <c r="AG94">
        <v>27</v>
      </c>
      <c r="AH94">
        <v>67</v>
      </c>
      <c r="AI94">
        <v>71</v>
      </c>
      <c r="AJ94">
        <v>0</v>
      </c>
      <c r="AK94">
        <v>25</v>
      </c>
      <c r="AL94" t="s">
        <v>1511</v>
      </c>
      <c r="AM94" t="s">
        <v>204</v>
      </c>
      <c r="AN94" t="s">
        <v>1512</v>
      </c>
      <c r="AO94" t="s">
        <v>1513</v>
      </c>
      <c r="AP94" t="s">
        <v>74</v>
      </c>
      <c r="AQ94" t="s">
        <v>74</v>
      </c>
      <c r="AR94" t="s">
        <v>1514</v>
      </c>
      <c r="AS94" t="s">
        <v>1515</v>
      </c>
      <c r="AT94" t="s">
        <v>1095</v>
      </c>
      <c r="AU94">
        <v>2001</v>
      </c>
      <c r="AV94">
        <v>55</v>
      </c>
      <c r="AW94">
        <v>3</v>
      </c>
      <c r="AX94" t="s">
        <v>74</v>
      </c>
      <c r="AY94" t="s">
        <v>74</v>
      </c>
      <c r="AZ94" t="s">
        <v>74</v>
      </c>
      <c r="BA94" t="s">
        <v>74</v>
      </c>
      <c r="BB94">
        <v>198</v>
      </c>
      <c r="BC94">
        <v>207</v>
      </c>
      <c r="BD94" t="s">
        <v>74</v>
      </c>
      <c r="BE94" t="s">
        <v>1516</v>
      </c>
      <c r="BF94" t="str">
        <f>HYPERLINK("http://dx.doi.org/10.1002/jemt.10000","http://dx.doi.org/10.1002/jemt.10000")</f>
        <v>http://dx.doi.org/10.1002/jemt.10000</v>
      </c>
      <c r="BG94" t="s">
        <v>74</v>
      </c>
      <c r="BH94" t="s">
        <v>74</v>
      </c>
      <c r="BI94">
        <v>10</v>
      </c>
      <c r="BJ94" t="s">
        <v>1517</v>
      </c>
      <c r="BK94" t="s">
        <v>88</v>
      </c>
      <c r="BL94" t="s">
        <v>1518</v>
      </c>
      <c r="BM94" t="s">
        <v>1519</v>
      </c>
      <c r="BN94">
        <v>11747095</v>
      </c>
      <c r="BO94" t="s">
        <v>74</v>
      </c>
      <c r="BP94" t="s">
        <v>74</v>
      </c>
      <c r="BQ94" t="s">
        <v>74</v>
      </c>
      <c r="BR94" t="s">
        <v>91</v>
      </c>
      <c r="BS94" t="s">
        <v>1520</v>
      </c>
      <c r="BT94" t="str">
        <f>HYPERLINK("https%3A%2F%2Fwww.webofscience.com%2Fwos%2Fwoscc%2Ffull-record%2FWOS:000172036100008","View Full Record in Web of Science")</f>
        <v>View Full Record in Web of Science</v>
      </c>
    </row>
    <row r="95" spans="1:72" x14ac:dyDescent="0.15">
      <c r="A95" t="s">
        <v>72</v>
      </c>
      <c r="B95" t="s">
        <v>1521</v>
      </c>
      <c r="C95" t="s">
        <v>74</v>
      </c>
      <c r="D95" t="s">
        <v>74</v>
      </c>
      <c r="E95" t="s">
        <v>74</v>
      </c>
      <c r="F95" t="s">
        <v>1521</v>
      </c>
      <c r="G95" t="s">
        <v>74</v>
      </c>
      <c r="H95" t="s">
        <v>74</v>
      </c>
      <c r="I95" t="s">
        <v>1522</v>
      </c>
      <c r="J95" t="s">
        <v>1523</v>
      </c>
      <c r="K95" t="s">
        <v>74</v>
      </c>
      <c r="L95" t="s">
        <v>74</v>
      </c>
      <c r="M95" t="s">
        <v>77</v>
      </c>
      <c r="N95" t="s">
        <v>120</v>
      </c>
      <c r="O95" t="s">
        <v>74</v>
      </c>
      <c r="P95" t="s">
        <v>74</v>
      </c>
      <c r="Q95" t="s">
        <v>74</v>
      </c>
      <c r="R95" t="s">
        <v>74</v>
      </c>
      <c r="S95" t="s">
        <v>74</v>
      </c>
      <c r="T95" t="s">
        <v>1524</v>
      </c>
      <c r="U95" t="s">
        <v>1525</v>
      </c>
      <c r="V95" t="s">
        <v>1526</v>
      </c>
      <c r="W95" t="s">
        <v>1527</v>
      </c>
      <c r="X95" t="s">
        <v>1528</v>
      </c>
      <c r="Y95" t="s">
        <v>1529</v>
      </c>
      <c r="Z95" t="s">
        <v>74</v>
      </c>
      <c r="AA95" t="s">
        <v>74</v>
      </c>
      <c r="AB95" t="s">
        <v>74</v>
      </c>
      <c r="AC95" t="s">
        <v>74</v>
      </c>
      <c r="AD95" t="s">
        <v>74</v>
      </c>
      <c r="AE95" t="s">
        <v>74</v>
      </c>
      <c r="AF95" t="s">
        <v>74</v>
      </c>
      <c r="AG95">
        <v>62</v>
      </c>
      <c r="AH95">
        <v>139</v>
      </c>
      <c r="AI95">
        <v>164</v>
      </c>
      <c r="AJ95">
        <v>2</v>
      </c>
      <c r="AK95">
        <v>34</v>
      </c>
      <c r="AL95" t="s">
        <v>1080</v>
      </c>
      <c r="AM95" t="s">
        <v>80</v>
      </c>
      <c r="AN95" t="s">
        <v>1081</v>
      </c>
      <c r="AO95" t="s">
        <v>1530</v>
      </c>
      <c r="AP95" t="s">
        <v>74</v>
      </c>
      <c r="AQ95" t="s">
        <v>74</v>
      </c>
      <c r="AR95" t="s">
        <v>1531</v>
      </c>
      <c r="AS95" t="s">
        <v>1532</v>
      </c>
      <c r="AT95" t="s">
        <v>737</v>
      </c>
      <c r="AU95">
        <v>2001</v>
      </c>
      <c r="AV95">
        <v>10</v>
      </c>
      <c r="AW95">
        <v>11</v>
      </c>
      <c r="AX95" t="s">
        <v>74</v>
      </c>
      <c r="AY95" t="s">
        <v>74</v>
      </c>
      <c r="AZ95" t="s">
        <v>74</v>
      </c>
      <c r="BA95" t="s">
        <v>74</v>
      </c>
      <c r="BB95">
        <v>2647</v>
      </c>
      <c r="BC95">
        <v>2660</v>
      </c>
      <c r="BD95" t="s">
        <v>74</v>
      </c>
      <c r="BE95" t="s">
        <v>1533</v>
      </c>
      <c r="BF95" t="str">
        <f>HYPERLINK("http://dx.doi.org/10.1046/j.0962-1083.2001.01392.x","http://dx.doi.org/10.1046/j.0962-1083.2001.01392.x")</f>
        <v>http://dx.doi.org/10.1046/j.0962-1083.2001.01392.x</v>
      </c>
      <c r="BG95" t="s">
        <v>74</v>
      </c>
      <c r="BH95" t="s">
        <v>74</v>
      </c>
      <c r="BI95">
        <v>14</v>
      </c>
      <c r="BJ95" t="s">
        <v>1534</v>
      </c>
      <c r="BK95" t="s">
        <v>88</v>
      </c>
      <c r="BL95" t="s">
        <v>1535</v>
      </c>
      <c r="BM95" t="s">
        <v>1536</v>
      </c>
      <c r="BN95">
        <v>11883879</v>
      </c>
      <c r="BO95" t="s">
        <v>74</v>
      </c>
      <c r="BP95" t="s">
        <v>74</v>
      </c>
      <c r="BQ95" t="s">
        <v>74</v>
      </c>
      <c r="BR95" t="s">
        <v>91</v>
      </c>
      <c r="BS95" t="s">
        <v>1537</v>
      </c>
      <c r="BT95" t="str">
        <f>HYPERLINK("https%3A%2F%2Fwww.webofscience.com%2Fwos%2Fwoscc%2Ffull-record%2FWOS:000172483600006","View Full Record in Web of Science")</f>
        <v>View Full Record in Web of Science</v>
      </c>
    </row>
    <row r="96" spans="1:72" x14ac:dyDescent="0.15">
      <c r="A96" t="s">
        <v>72</v>
      </c>
      <c r="B96" t="s">
        <v>1538</v>
      </c>
      <c r="C96" t="s">
        <v>74</v>
      </c>
      <c r="D96" t="s">
        <v>74</v>
      </c>
      <c r="E96" t="s">
        <v>74</v>
      </c>
      <c r="F96" t="s">
        <v>1538</v>
      </c>
      <c r="G96" t="s">
        <v>74</v>
      </c>
      <c r="H96" t="s">
        <v>74</v>
      </c>
      <c r="I96" t="s">
        <v>1539</v>
      </c>
      <c r="J96" t="s">
        <v>1540</v>
      </c>
      <c r="K96" t="s">
        <v>74</v>
      </c>
      <c r="L96" t="s">
        <v>74</v>
      </c>
      <c r="M96" t="s">
        <v>77</v>
      </c>
      <c r="N96" t="s">
        <v>120</v>
      </c>
      <c r="O96" t="s">
        <v>74</v>
      </c>
      <c r="P96" t="s">
        <v>74</v>
      </c>
      <c r="Q96" t="s">
        <v>74</v>
      </c>
      <c r="R96" t="s">
        <v>74</v>
      </c>
      <c r="S96" t="s">
        <v>74</v>
      </c>
      <c r="T96" t="s">
        <v>1541</v>
      </c>
      <c r="U96" t="s">
        <v>1542</v>
      </c>
      <c r="V96" t="s">
        <v>1543</v>
      </c>
      <c r="W96" t="s">
        <v>1544</v>
      </c>
      <c r="X96" t="s">
        <v>1545</v>
      </c>
      <c r="Y96" t="s">
        <v>1546</v>
      </c>
      <c r="Z96" t="s">
        <v>1547</v>
      </c>
      <c r="AA96" t="s">
        <v>74</v>
      </c>
      <c r="AB96" t="s">
        <v>1548</v>
      </c>
      <c r="AC96" t="s">
        <v>74</v>
      </c>
      <c r="AD96" t="s">
        <v>74</v>
      </c>
      <c r="AE96" t="s">
        <v>74</v>
      </c>
      <c r="AF96" t="s">
        <v>74</v>
      </c>
      <c r="AG96">
        <v>43</v>
      </c>
      <c r="AH96">
        <v>62</v>
      </c>
      <c r="AI96">
        <v>71</v>
      </c>
      <c r="AJ96">
        <v>1</v>
      </c>
      <c r="AK96">
        <v>17</v>
      </c>
      <c r="AL96" t="s">
        <v>1247</v>
      </c>
      <c r="AM96" t="s">
        <v>1248</v>
      </c>
      <c r="AN96" t="s">
        <v>1249</v>
      </c>
      <c r="AO96" t="s">
        <v>1549</v>
      </c>
      <c r="AP96" t="s">
        <v>1550</v>
      </c>
      <c r="AQ96" t="s">
        <v>74</v>
      </c>
      <c r="AR96" t="s">
        <v>1551</v>
      </c>
      <c r="AS96" t="s">
        <v>1552</v>
      </c>
      <c r="AT96" t="s">
        <v>737</v>
      </c>
      <c r="AU96">
        <v>2001</v>
      </c>
      <c r="AV96">
        <v>152</v>
      </c>
      <c r="AW96">
        <v>2</v>
      </c>
      <c r="AX96" t="s">
        <v>74</v>
      </c>
      <c r="AY96" t="s">
        <v>74</v>
      </c>
      <c r="AZ96" t="s">
        <v>74</v>
      </c>
      <c r="BA96" t="s">
        <v>74</v>
      </c>
      <c r="BB96">
        <v>213</v>
      </c>
      <c r="BC96">
        <v>221</v>
      </c>
      <c r="BD96" t="s">
        <v>74</v>
      </c>
      <c r="BE96" t="s">
        <v>1553</v>
      </c>
      <c r="BF96" t="str">
        <f>HYPERLINK("http://dx.doi.org/10.1046/j.0028-646X.2001.00254.x","http://dx.doi.org/10.1046/j.0028-646X.2001.00254.x")</f>
        <v>http://dx.doi.org/10.1046/j.0028-646X.2001.00254.x</v>
      </c>
      <c r="BG96" t="s">
        <v>74</v>
      </c>
      <c r="BH96" t="s">
        <v>74</v>
      </c>
      <c r="BI96">
        <v>9</v>
      </c>
      <c r="BJ96" t="s">
        <v>357</v>
      </c>
      <c r="BK96" t="s">
        <v>88</v>
      </c>
      <c r="BL96" t="s">
        <v>357</v>
      </c>
      <c r="BM96" t="s">
        <v>1554</v>
      </c>
      <c r="BN96" t="s">
        <v>74</v>
      </c>
      <c r="BO96" t="s">
        <v>171</v>
      </c>
      <c r="BP96" t="s">
        <v>74</v>
      </c>
      <c r="BQ96" t="s">
        <v>74</v>
      </c>
      <c r="BR96" t="s">
        <v>91</v>
      </c>
      <c r="BS96" t="s">
        <v>1555</v>
      </c>
      <c r="BT96" t="str">
        <f>HYPERLINK("https%3A%2F%2Fwww.webofscience.com%2Fwos%2Fwoscc%2Ffull-record%2FWOS:000171681800005","View Full Record in Web of Science")</f>
        <v>View Full Record in Web of Science</v>
      </c>
    </row>
    <row r="97" spans="1:72" x14ac:dyDescent="0.15">
      <c r="A97" t="s">
        <v>72</v>
      </c>
      <c r="B97" t="s">
        <v>1556</v>
      </c>
      <c r="C97" t="s">
        <v>74</v>
      </c>
      <c r="D97" t="s">
        <v>74</v>
      </c>
      <c r="E97" t="s">
        <v>74</v>
      </c>
      <c r="F97" t="s">
        <v>1556</v>
      </c>
      <c r="G97" t="s">
        <v>74</v>
      </c>
      <c r="H97" t="s">
        <v>74</v>
      </c>
      <c r="I97" t="s">
        <v>1557</v>
      </c>
      <c r="J97" t="s">
        <v>1558</v>
      </c>
      <c r="K97" t="s">
        <v>74</v>
      </c>
      <c r="L97" t="s">
        <v>74</v>
      </c>
      <c r="M97" t="s">
        <v>77</v>
      </c>
      <c r="N97" t="s">
        <v>120</v>
      </c>
      <c r="O97" t="s">
        <v>74</v>
      </c>
      <c r="P97" t="s">
        <v>74</v>
      </c>
      <c r="Q97" t="s">
        <v>74</v>
      </c>
      <c r="R97" t="s">
        <v>74</v>
      </c>
      <c r="S97" t="s">
        <v>74</v>
      </c>
      <c r="T97" t="s">
        <v>1559</v>
      </c>
      <c r="U97" t="s">
        <v>1560</v>
      </c>
      <c r="V97" t="s">
        <v>1561</v>
      </c>
      <c r="W97" t="s">
        <v>1562</v>
      </c>
      <c r="X97" t="s">
        <v>1563</v>
      </c>
      <c r="Y97" t="s">
        <v>1564</v>
      </c>
      <c r="Z97" t="s">
        <v>1565</v>
      </c>
      <c r="AA97" t="s">
        <v>1566</v>
      </c>
      <c r="AB97" t="s">
        <v>1567</v>
      </c>
      <c r="AC97" t="s">
        <v>74</v>
      </c>
      <c r="AD97" t="s">
        <v>74</v>
      </c>
      <c r="AE97" t="s">
        <v>74</v>
      </c>
      <c r="AF97" t="s">
        <v>74</v>
      </c>
      <c r="AG97">
        <v>32</v>
      </c>
      <c r="AH97">
        <v>3</v>
      </c>
      <c r="AI97">
        <v>3</v>
      </c>
      <c r="AJ97">
        <v>0</v>
      </c>
      <c r="AK97">
        <v>0</v>
      </c>
      <c r="AL97" t="s">
        <v>1568</v>
      </c>
      <c r="AM97" t="s">
        <v>1569</v>
      </c>
      <c r="AN97" t="s">
        <v>1570</v>
      </c>
      <c r="AO97" t="s">
        <v>1571</v>
      </c>
      <c r="AP97" t="s">
        <v>74</v>
      </c>
      <c r="AQ97" t="s">
        <v>74</v>
      </c>
      <c r="AR97" t="s">
        <v>1572</v>
      </c>
      <c r="AS97" t="s">
        <v>1573</v>
      </c>
      <c r="AT97" t="s">
        <v>1499</v>
      </c>
      <c r="AU97">
        <v>2001</v>
      </c>
      <c r="AV97">
        <v>24</v>
      </c>
      <c r="AW97">
        <v>6</v>
      </c>
      <c r="AX97" t="s">
        <v>74</v>
      </c>
      <c r="AY97" t="s">
        <v>74</v>
      </c>
      <c r="AZ97" t="s">
        <v>74</v>
      </c>
      <c r="BA97" t="s">
        <v>74</v>
      </c>
      <c r="BB97">
        <v>577</v>
      </c>
      <c r="BC97">
        <v>580</v>
      </c>
      <c r="BD97" t="s">
        <v>74</v>
      </c>
      <c r="BE97" t="s">
        <v>74</v>
      </c>
      <c r="BF97" t="s">
        <v>74</v>
      </c>
      <c r="BG97" t="s">
        <v>74</v>
      </c>
      <c r="BH97" t="s">
        <v>74</v>
      </c>
      <c r="BI97">
        <v>4</v>
      </c>
      <c r="BJ97" t="s">
        <v>668</v>
      </c>
      <c r="BK97" t="s">
        <v>88</v>
      </c>
      <c r="BL97" t="s">
        <v>668</v>
      </c>
      <c r="BM97" t="s">
        <v>1574</v>
      </c>
      <c r="BN97" t="s">
        <v>74</v>
      </c>
      <c r="BO97" t="s">
        <v>74</v>
      </c>
      <c r="BP97" t="s">
        <v>74</v>
      </c>
      <c r="BQ97" t="s">
        <v>74</v>
      </c>
      <c r="BR97" t="s">
        <v>91</v>
      </c>
      <c r="BS97" t="s">
        <v>1575</v>
      </c>
      <c r="BT97" t="str">
        <f>HYPERLINK("https%3A%2F%2Fwww.webofscience.com%2Fwos%2Fwoscc%2Ffull-record%2FWOS:000173363500006","View Full Record in Web of Science")</f>
        <v>View Full Record in Web of Science</v>
      </c>
    </row>
    <row r="98" spans="1:72" x14ac:dyDescent="0.15">
      <c r="A98" t="s">
        <v>72</v>
      </c>
      <c r="B98" t="s">
        <v>1576</v>
      </c>
      <c r="C98" t="s">
        <v>74</v>
      </c>
      <c r="D98" t="s">
        <v>74</v>
      </c>
      <c r="E98" t="s">
        <v>74</v>
      </c>
      <c r="F98" t="s">
        <v>1576</v>
      </c>
      <c r="G98" t="s">
        <v>74</v>
      </c>
      <c r="H98" t="s">
        <v>74</v>
      </c>
      <c r="I98" t="s">
        <v>1577</v>
      </c>
      <c r="J98" t="s">
        <v>1578</v>
      </c>
      <c r="K98" t="s">
        <v>74</v>
      </c>
      <c r="L98" t="s">
        <v>74</v>
      </c>
      <c r="M98" t="s">
        <v>77</v>
      </c>
      <c r="N98" t="s">
        <v>120</v>
      </c>
      <c r="O98" t="s">
        <v>74</v>
      </c>
      <c r="P98" t="s">
        <v>74</v>
      </c>
      <c r="Q98" t="s">
        <v>74</v>
      </c>
      <c r="R98" t="s">
        <v>74</v>
      </c>
      <c r="S98" t="s">
        <v>74</v>
      </c>
      <c r="T98" t="s">
        <v>1579</v>
      </c>
      <c r="U98" t="s">
        <v>1580</v>
      </c>
      <c r="V98" t="s">
        <v>1581</v>
      </c>
      <c r="W98" t="s">
        <v>1582</v>
      </c>
      <c r="X98" t="s">
        <v>1583</v>
      </c>
      <c r="Y98" t="s">
        <v>1584</v>
      </c>
      <c r="Z98" t="s">
        <v>74</v>
      </c>
      <c r="AA98" t="s">
        <v>1585</v>
      </c>
      <c r="AB98" t="s">
        <v>1586</v>
      </c>
      <c r="AC98" t="s">
        <v>74</v>
      </c>
      <c r="AD98" t="s">
        <v>74</v>
      </c>
      <c r="AE98" t="s">
        <v>74</v>
      </c>
      <c r="AF98" t="s">
        <v>74</v>
      </c>
      <c r="AG98">
        <v>79</v>
      </c>
      <c r="AH98">
        <v>68</v>
      </c>
      <c r="AI98">
        <v>73</v>
      </c>
      <c r="AJ98">
        <v>0</v>
      </c>
      <c r="AK98">
        <v>7</v>
      </c>
      <c r="AL98" t="s">
        <v>1247</v>
      </c>
      <c r="AM98" t="s">
        <v>1248</v>
      </c>
      <c r="AN98" t="s">
        <v>1249</v>
      </c>
      <c r="AO98" t="s">
        <v>1587</v>
      </c>
      <c r="AP98" t="s">
        <v>1588</v>
      </c>
      <c r="AQ98" t="s">
        <v>74</v>
      </c>
      <c r="AR98" t="s">
        <v>1578</v>
      </c>
      <c r="AS98" t="s">
        <v>1460</v>
      </c>
      <c r="AT98" t="s">
        <v>737</v>
      </c>
      <c r="AU98">
        <v>2001</v>
      </c>
      <c r="AV98">
        <v>44</v>
      </c>
      <c r="AW98" t="s">
        <v>74</v>
      </c>
      <c r="AX98">
        <v>6</v>
      </c>
      <c r="AY98" t="s">
        <v>74</v>
      </c>
      <c r="AZ98" t="s">
        <v>74</v>
      </c>
      <c r="BA98" t="s">
        <v>74</v>
      </c>
      <c r="BB98">
        <v>1081</v>
      </c>
      <c r="BC98">
        <v>1112</v>
      </c>
      <c r="BD98" t="s">
        <v>74</v>
      </c>
      <c r="BE98" t="s">
        <v>1589</v>
      </c>
      <c r="BF98" t="str">
        <f>HYPERLINK("http://dx.doi.org/10.1111/1475-4983.00216","http://dx.doi.org/10.1111/1475-4983.00216")</f>
        <v>http://dx.doi.org/10.1111/1475-4983.00216</v>
      </c>
      <c r="BG98" t="s">
        <v>74</v>
      </c>
      <c r="BH98" t="s">
        <v>74</v>
      </c>
      <c r="BI98">
        <v>32</v>
      </c>
      <c r="BJ98" t="s">
        <v>1460</v>
      </c>
      <c r="BK98" t="s">
        <v>88</v>
      </c>
      <c r="BL98" t="s">
        <v>1460</v>
      </c>
      <c r="BM98" t="s">
        <v>1590</v>
      </c>
      <c r="BN98" t="s">
        <v>74</v>
      </c>
      <c r="BO98" t="s">
        <v>171</v>
      </c>
      <c r="BP98" t="s">
        <v>74</v>
      </c>
      <c r="BQ98" t="s">
        <v>74</v>
      </c>
      <c r="BR98" t="s">
        <v>91</v>
      </c>
      <c r="BS98" t="s">
        <v>1591</v>
      </c>
      <c r="BT98" t="str">
        <f>HYPERLINK("https%3A%2F%2Fwww.webofscience.com%2Fwos%2Fwoscc%2Ffull-record%2FWOS:000172982800002","View Full Record in Web of Science")</f>
        <v>View Full Record in Web of Science</v>
      </c>
    </row>
    <row r="99" spans="1:72" x14ac:dyDescent="0.15">
      <c r="A99" t="s">
        <v>72</v>
      </c>
      <c r="B99" t="s">
        <v>1592</v>
      </c>
      <c r="C99" t="s">
        <v>74</v>
      </c>
      <c r="D99" t="s">
        <v>74</v>
      </c>
      <c r="E99" t="s">
        <v>74</v>
      </c>
      <c r="F99" t="s">
        <v>1592</v>
      </c>
      <c r="G99" t="s">
        <v>74</v>
      </c>
      <c r="H99" t="s">
        <v>74</v>
      </c>
      <c r="I99" t="s">
        <v>1593</v>
      </c>
      <c r="J99" t="s">
        <v>194</v>
      </c>
      <c r="K99" t="s">
        <v>74</v>
      </c>
      <c r="L99" t="s">
        <v>74</v>
      </c>
      <c r="M99" t="s">
        <v>77</v>
      </c>
      <c r="N99" t="s">
        <v>96</v>
      </c>
      <c r="O99" t="s">
        <v>74</v>
      </c>
      <c r="P99" t="s">
        <v>74</v>
      </c>
      <c r="Q99" t="s">
        <v>74</v>
      </c>
      <c r="R99" t="s">
        <v>74</v>
      </c>
      <c r="S99" t="s">
        <v>74</v>
      </c>
      <c r="T99" t="s">
        <v>74</v>
      </c>
      <c r="U99" t="s">
        <v>1594</v>
      </c>
      <c r="V99" t="s">
        <v>1595</v>
      </c>
      <c r="W99" t="s">
        <v>1596</v>
      </c>
      <c r="X99" t="s">
        <v>462</v>
      </c>
      <c r="Y99" t="s">
        <v>74</v>
      </c>
      <c r="Z99" t="s">
        <v>1597</v>
      </c>
      <c r="AA99" t="s">
        <v>74</v>
      </c>
      <c r="AB99" t="s">
        <v>1598</v>
      </c>
      <c r="AC99" t="s">
        <v>74</v>
      </c>
      <c r="AD99" t="s">
        <v>74</v>
      </c>
      <c r="AE99" t="s">
        <v>74</v>
      </c>
      <c r="AF99" t="s">
        <v>74</v>
      </c>
      <c r="AG99">
        <v>66</v>
      </c>
      <c r="AH99">
        <v>88</v>
      </c>
      <c r="AI99">
        <v>95</v>
      </c>
      <c r="AJ99">
        <v>0</v>
      </c>
      <c r="AK99">
        <v>27</v>
      </c>
      <c r="AL99" t="s">
        <v>248</v>
      </c>
      <c r="AM99" t="s">
        <v>204</v>
      </c>
      <c r="AN99" t="s">
        <v>249</v>
      </c>
      <c r="AO99" t="s">
        <v>206</v>
      </c>
      <c r="AP99" t="s">
        <v>250</v>
      </c>
      <c r="AQ99" t="s">
        <v>74</v>
      </c>
      <c r="AR99" t="s">
        <v>207</v>
      </c>
      <c r="AS99" t="s">
        <v>208</v>
      </c>
      <c r="AT99" t="s">
        <v>737</v>
      </c>
      <c r="AU99">
        <v>2001</v>
      </c>
      <c r="AV99">
        <v>24</v>
      </c>
      <c r="AW99">
        <v>11</v>
      </c>
      <c r="AX99" t="s">
        <v>74</v>
      </c>
      <c r="AY99" t="s">
        <v>74</v>
      </c>
      <c r="AZ99" t="s">
        <v>74</v>
      </c>
      <c r="BA99" t="s">
        <v>74</v>
      </c>
      <c r="BB99">
        <v>793</v>
      </c>
      <c r="BC99">
        <v>807</v>
      </c>
      <c r="BD99" t="s">
        <v>74</v>
      </c>
      <c r="BE99" t="s">
        <v>1599</v>
      </c>
      <c r="BF99" t="str">
        <f>HYPERLINK("http://dx.doi.org/10.1007/s003000100293","http://dx.doi.org/10.1007/s003000100293")</f>
        <v>http://dx.doi.org/10.1007/s003000100293</v>
      </c>
      <c r="BG99" t="s">
        <v>74</v>
      </c>
      <c r="BH99" t="s">
        <v>74</v>
      </c>
      <c r="BI99">
        <v>15</v>
      </c>
      <c r="BJ99" t="s">
        <v>209</v>
      </c>
      <c r="BK99" t="s">
        <v>88</v>
      </c>
      <c r="BL99" t="s">
        <v>210</v>
      </c>
      <c r="BM99" t="s">
        <v>1600</v>
      </c>
      <c r="BN99" t="s">
        <v>74</v>
      </c>
      <c r="BO99" t="s">
        <v>74</v>
      </c>
      <c r="BP99" t="s">
        <v>74</v>
      </c>
      <c r="BQ99" t="s">
        <v>74</v>
      </c>
      <c r="BR99" t="s">
        <v>91</v>
      </c>
      <c r="BS99" t="s">
        <v>1601</v>
      </c>
      <c r="BT99" t="str">
        <f>HYPERLINK("https%3A%2F%2Fwww.webofscience.com%2Fwos%2Fwoscc%2Ffull-record%2FWOS:000172275100001","View Full Record in Web of Science")</f>
        <v>View Full Record in Web of Science</v>
      </c>
    </row>
    <row r="100" spans="1:72" x14ac:dyDescent="0.15">
      <c r="A100" t="s">
        <v>72</v>
      </c>
      <c r="B100" t="s">
        <v>1602</v>
      </c>
      <c r="C100" t="s">
        <v>74</v>
      </c>
      <c r="D100" t="s">
        <v>74</v>
      </c>
      <c r="E100" t="s">
        <v>74</v>
      </c>
      <c r="F100" t="s">
        <v>1602</v>
      </c>
      <c r="G100" t="s">
        <v>74</v>
      </c>
      <c r="H100" t="s">
        <v>74</v>
      </c>
      <c r="I100" t="s">
        <v>1603</v>
      </c>
      <c r="J100" t="s">
        <v>194</v>
      </c>
      <c r="K100" t="s">
        <v>74</v>
      </c>
      <c r="L100" t="s">
        <v>74</v>
      </c>
      <c r="M100" t="s">
        <v>77</v>
      </c>
      <c r="N100" t="s">
        <v>120</v>
      </c>
      <c r="O100" t="s">
        <v>74</v>
      </c>
      <c r="P100" t="s">
        <v>74</v>
      </c>
      <c r="Q100" t="s">
        <v>74</v>
      </c>
      <c r="R100" t="s">
        <v>74</v>
      </c>
      <c r="S100" t="s">
        <v>74</v>
      </c>
      <c r="T100" t="s">
        <v>74</v>
      </c>
      <c r="U100" t="s">
        <v>1604</v>
      </c>
      <c r="V100" t="s">
        <v>1605</v>
      </c>
      <c r="W100" t="s">
        <v>1606</v>
      </c>
      <c r="X100" t="s">
        <v>1607</v>
      </c>
      <c r="Y100" t="s">
        <v>1608</v>
      </c>
      <c r="Z100" t="s">
        <v>1609</v>
      </c>
      <c r="AA100" t="s">
        <v>74</v>
      </c>
      <c r="AB100" t="s">
        <v>1610</v>
      </c>
      <c r="AC100" t="s">
        <v>74</v>
      </c>
      <c r="AD100" t="s">
        <v>74</v>
      </c>
      <c r="AE100" t="s">
        <v>74</v>
      </c>
      <c r="AF100" t="s">
        <v>74</v>
      </c>
      <c r="AG100">
        <v>36</v>
      </c>
      <c r="AH100">
        <v>34</v>
      </c>
      <c r="AI100">
        <v>37</v>
      </c>
      <c r="AJ100">
        <v>0</v>
      </c>
      <c r="AK100">
        <v>6</v>
      </c>
      <c r="AL100" t="s">
        <v>248</v>
      </c>
      <c r="AM100" t="s">
        <v>204</v>
      </c>
      <c r="AN100" t="s">
        <v>249</v>
      </c>
      <c r="AO100" t="s">
        <v>206</v>
      </c>
      <c r="AP100" t="s">
        <v>250</v>
      </c>
      <c r="AQ100" t="s">
        <v>74</v>
      </c>
      <c r="AR100" t="s">
        <v>207</v>
      </c>
      <c r="AS100" t="s">
        <v>208</v>
      </c>
      <c r="AT100" t="s">
        <v>737</v>
      </c>
      <c r="AU100">
        <v>2001</v>
      </c>
      <c r="AV100">
        <v>24</v>
      </c>
      <c r="AW100">
        <v>11</v>
      </c>
      <c r="AX100" t="s">
        <v>74</v>
      </c>
      <c r="AY100" t="s">
        <v>74</v>
      </c>
      <c r="AZ100" t="s">
        <v>74</v>
      </c>
      <c r="BA100" t="s">
        <v>74</v>
      </c>
      <c r="BB100">
        <v>808</v>
      </c>
      <c r="BC100">
        <v>817</v>
      </c>
      <c r="BD100" t="s">
        <v>74</v>
      </c>
      <c r="BE100" t="s">
        <v>1611</v>
      </c>
      <c r="BF100" t="str">
        <f>HYPERLINK("http://dx.doi.org/10.1007/s003000100279","http://dx.doi.org/10.1007/s003000100279")</f>
        <v>http://dx.doi.org/10.1007/s003000100279</v>
      </c>
      <c r="BG100" t="s">
        <v>74</v>
      </c>
      <c r="BH100" t="s">
        <v>74</v>
      </c>
      <c r="BI100">
        <v>10</v>
      </c>
      <c r="BJ100" t="s">
        <v>209</v>
      </c>
      <c r="BK100" t="s">
        <v>88</v>
      </c>
      <c r="BL100" t="s">
        <v>210</v>
      </c>
      <c r="BM100" t="s">
        <v>1600</v>
      </c>
      <c r="BN100" t="s">
        <v>74</v>
      </c>
      <c r="BO100" t="s">
        <v>74</v>
      </c>
      <c r="BP100" t="s">
        <v>74</v>
      </c>
      <c r="BQ100" t="s">
        <v>74</v>
      </c>
      <c r="BR100" t="s">
        <v>91</v>
      </c>
      <c r="BS100" t="s">
        <v>1612</v>
      </c>
      <c r="BT100" t="str">
        <f>HYPERLINK("https%3A%2F%2Fwww.webofscience.com%2Fwos%2Fwoscc%2Ffull-record%2FWOS:000172275100002","View Full Record in Web of Science")</f>
        <v>View Full Record in Web of Science</v>
      </c>
    </row>
    <row r="101" spans="1:72" x14ac:dyDescent="0.15">
      <c r="A101" t="s">
        <v>72</v>
      </c>
      <c r="B101" t="s">
        <v>1613</v>
      </c>
      <c r="C101" t="s">
        <v>74</v>
      </c>
      <c r="D101" t="s">
        <v>74</v>
      </c>
      <c r="E101" t="s">
        <v>74</v>
      </c>
      <c r="F101" t="s">
        <v>1613</v>
      </c>
      <c r="G101" t="s">
        <v>74</v>
      </c>
      <c r="H101" t="s">
        <v>74</v>
      </c>
      <c r="I101" t="s">
        <v>1614</v>
      </c>
      <c r="J101" t="s">
        <v>194</v>
      </c>
      <c r="K101" t="s">
        <v>74</v>
      </c>
      <c r="L101" t="s">
        <v>74</v>
      </c>
      <c r="M101" t="s">
        <v>77</v>
      </c>
      <c r="N101" t="s">
        <v>120</v>
      </c>
      <c r="O101" t="s">
        <v>74</v>
      </c>
      <c r="P101" t="s">
        <v>74</v>
      </c>
      <c r="Q101" t="s">
        <v>74</v>
      </c>
      <c r="R101" t="s">
        <v>74</v>
      </c>
      <c r="S101" t="s">
        <v>74</v>
      </c>
      <c r="T101" t="s">
        <v>74</v>
      </c>
      <c r="U101" t="s">
        <v>1615</v>
      </c>
      <c r="V101" t="s">
        <v>1616</v>
      </c>
      <c r="W101" t="s">
        <v>1617</v>
      </c>
      <c r="X101" t="s">
        <v>1433</v>
      </c>
      <c r="Y101" t="s">
        <v>1618</v>
      </c>
      <c r="Z101" t="s">
        <v>1619</v>
      </c>
      <c r="AA101" t="s">
        <v>1620</v>
      </c>
      <c r="AB101" t="s">
        <v>1621</v>
      </c>
      <c r="AC101" t="s">
        <v>74</v>
      </c>
      <c r="AD101" t="s">
        <v>74</v>
      </c>
      <c r="AE101" t="s">
        <v>74</v>
      </c>
      <c r="AF101" t="s">
        <v>74</v>
      </c>
      <c r="AG101">
        <v>41</v>
      </c>
      <c r="AH101">
        <v>3</v>
      </c>
      <c r="AI101">
        <v>3</v>
      </c>
      <c r="AJ101">
        <v>0</v>
      </c>
      <c r="AK101">
        <v>6</v>
      </c>
      <c r="AL101" t="s">
        <v>248</v>
      </c>
      <c r="AM101" t="s">
        <v>204</v>
      </c>
      <c r="AN101" t="s">
        <v>1622</v>
      </c>
      <c r="AO101" t="s">
        <v>206</v>
      </c>
      <c r="AP101" t="s">
        <v>250</v>
      </c>
      <c r="AQ101" t="s">
        <v>74</v>
      </c>
      <c r="AR101" t="s">
        <v>207</v>
      </c>
      <c r="AS101" t="s">
        <v>208</v>
      </c>
      <c r="AT101" t="s">
        <v>737</v>
      </c>
      <c r="AU101">
        <v>2001</v>
      </c>
      <c r="AV101">
        <v>24</v>
      </c>
      <c r="AW101">
        <v>11</v>
      </c>
      <c r="AX101" t="s">
        <v>74</v>
      </c>
      <c r="AY101" t="s">
        <v>74</v>
      </c>
      <c r="AZ101" t="s">
        <v>74</v>
      </c>
      <c r="BA101" t="s">
        <v>74</v>
      </c>
      <c r="BB101">
        <v>818</v>
      </c>
      <c r="BC101">
        <v>827</v>
      </c>
      <c r="BD101" t="s">
        <v>74</v>
      </c>
      <c r="BE101" t="s">
        <v>1623</v>
      </c>
      <c r="BF101" t="str">
        <f>HYPERLINK("http://dx.doi.org/10.1007/s003000100284","http://dx.doi.org/10.1007/s003000100284")</f>
        <v>http://dx.doi.org/10.1007/s003000100284</v>
      </c>
      <c r="BG101" t="s">
        <v>74</v>
      </c>
      <c r="BH101" t="s">
        <v>74</v>
      </c>
      <c r="BI101">
        <v>10</v>
      </c>
      <c r="BJ101" t="s">
        <v>209</v>
      </c>
      <c r="BK101" t="s">
        <v>88</v>
      </c>
      <c r="BL101" t="s">
        <v>210</v>
      </c>
      <c r="BM101" t="s">
        <v>1600</v>
      </c>
      <c r="BN101" t="s">
        <v>74</v>
      </c>
      <c r="BO101" t="s">
        <v>74</v>
      </c>
      <c r="BP101" t="s">
        <v>74</v>
      </c>
      <c r="BQ101" t="s">
        <v>74</v>
      </c>
      <c r="BR101" t="s">
        <v>91</v>
      </c>
      <c r="BS101" t="s">
        <v>1624</v>
      </c>
      <c r="BT101" t="str">
        <f>HYPERLINK("https%3A%2F%2Fwww.webofscience.com%2Fwos%2Fwoscc%2Ffull-record%2FWOS:000172275100003","View Full Record in Web of Science")</f>
        <v>View Full Record in Web of Science</v>
      </c>
    </row>
    <row r="102" spans="1:72" x14ac:dyDescent="0.15">
      <c r="A102" t="s">
        <v>72</v>
      </c>
      <c r="B102" t="s">
        <v>1625</v>
      </c>
      <c r="C102" t="s">
        <v>74</v>
      </c>
      <c r="D102" t="s">
        <v>74</v>
      </c>
      <c r="E102" t="s">
        <v>74</v>
      </c>
      <c r="F102" t="s">
        <v>1625</v>
      </c>
      <c r="G102" t="s">
        <v>74</v>
      </c>
      <c r="H102" t="s">
        <v>74</v>
      </c>
      <c r="I102" t="s">
        <v>1626</v>
      </c>
      <c r="J102" t="s">
        <v>194</v>
      </c>
      <c r="K102" t="s">
        <v>74</v>
      </c>
      <c r="L102" t="s">
        <v>74</v>
      </c>
      <c r="M102" t="s">
        <v>77</v>
      </c>
      <c r="N102" t="s">
        <v>120</v>
      </c>
      <c r="O102" t="s">
        <v>74</v>
      </c>
      <c r="P102" t="s">
        <v>74</v>
      </c>
      <c r="Q102" t="s">
        <v>74</v>
      </c>
      <c r="R102" t="s">
        <v>74</v>
      </c>
      <c r="S102" t="s">
        <v>74</v>
      </c>
      <c r="T102" t="s">
        <v>74</v>
      </c>
      <c r="U102" t="s">
        <v>1627</v>
      </c>
      <c r="V102" t="s">
        <v>1628</v>
      </c>
      <c r="W102" t="s">
        <v>1629</v>
      </c>
      <c r="X102" t="s">
        <v>1630</v>
      </c>
      <c r="Y102" t="s">
        <v>1631</v>
      </c>
      <c r="Z102" t="s">
        <v>74</v>
      </c>
      <c r="AA102" t="s">
        <v>1632</v>
      </c>
      <c r="AB102" t="s">
        <v>1633</v>
      </c>
      <c r="AC102" t="s">
        <v>74</v>
      </c>
      <c r="AD102" t="s">
        <v>74</v>
      </c>
      <c r="AE102" t="s">
        <v>74</v>
      </c>
      <c r="AF102" t="s">
        <v>74</v>
      </c>
      <c r="AG102">
        <v>30</v>
      </c>
      <c r="AH102">
        <v>22</v>
      </c>
      <c r="AI102">
        <v>26</v>
      </c>
      <c r="AJ102">
        <v>0</v>
      </c>
      <c r="AK102">
        <v>2</v>
      </c>
      <c r="AL102" t="s">
        <v>203</v>
      </c>
      <c r="AM102" t="s">
        <v>204</v>
      </c>
      <c r="AN102" t="s">
        <v>205</v>
      </c>
      <c r="AO102" t="s">
        <v>206</v>
      </c>
      <c r="AP102" t="s">
        <v>74</v>
      </c>
      <c r="AQ102" t="s">
        <v>74</v>
      </c>
      <c r="AR102" t="s">
        <v>207</v>
      </c>
      <c r="AS102" t="s">
        <v>208</v>
      </c>
      <c r="AT102" t="s">
        <v>737</v>
      </c>
      <c r="AU102">
        <v>2001</v>
      </c>
      <c r="AV102">
        <v>24</v>
      </c>
      <c r="AW102">
        <v>11</v>
      </c>
      <c r="AX102" t="s">
        <v>74</v>
      </c>
      <c r="AY102" t="s">
        <v>74</v>
      </c>
      <c r="AZ102" t="s">
        <v>74</v>
      </c>
      <c r="BA102" t="s">
        <v>74</v>
      </c>
      <c r="BB102">
        <v>832</v>
      </c>
      <c r="BC102">
        <v>838</v>
      </c>
      <c r="BD102" t="s">
        <v>74</v>
      </c>
      <c r="BE102" t="s">
        <v>74</v>
      </c>
      <c r="BF102" t="s">
        <v>74</v>
      </c>
      <c r="BG102" t="s">
        <v>74</v>
      </c>
      <c r="BH102" t="s">
        <v>74</v>
      </c>
      <c r="BI102">
        <v>7</v>
      </c>
      <c r="BJ102" t="s">
        <v>209</v>
      </c>
      <c r="BK102" t="s">
        <v>88</v>
      </c>
      <c r="BL102" t="s">
        <v>210</v>
      </c>
      <c r="BM102" t="s">
        <v>1600</v>
      </c>
      <c r="BN102" t="s">
        <v>74</v>
      </c>
      <c r="BO102" t="s">
        <v>74</v>
      </c>
      <c r="BP102" t="s">
        <v>74</v>
      </c>
      <c r="BQ102" t="s">
        <v>74</v>
      </c>
      <c r="BR102" t="s">
        <v>91</v>
      </c>
      <c r="BS102" t="s">
        <v>1634</v>
      </c>
      <c r="BT102" t="str">
        <f>HYPERLINK("https%3A%2F%2Fwww.webofscience.com%2Fwos%2Fwoscc%2Ffull-record%2FWOS:000172275100005","View Full Record in Web of Science")</f>
        <v>View Full Record in Web of Science</v>
      </c>
    </row>
    <row r="103" spans="1:72" x14ac:dyDescent="0.15">
      <c r="A103" t="s">
        <v>72</v>
      </c>
      <c r="B103" t="s">
        <v>1635</v>
      </c>
      <c r="C103" t="s">
        <v>74</v>
      </c>
      <c r="D103" t="s">
        <v>74</v>
      </c>
      <c r="E103" t="s">
        <v>74</v>
      </c>
      <c r="F103" t="s">
        <v>1635</v>
      </c>
      <c r="G103" t="s">
        <v>74</v>
      </c>
      <c r="H103" t="s">
        <v>74</v>
      </c>
      <c r="I103" t="s">
        <v>1636</v>
      </c>
      <c r="J103" t="s">
        <v>194</v>
      </c>
      <c r="K103" t="s">
        <v>74</v>
      </c>
      <c r="L103" t="s">
        <v>74</v>
      </c>
      <c r="M103" t="s">
        <v>77</v>
      </c>
      <c r="N103" t="s">
        <v>120</v>
      </c>
      <c r="O103" t="s">
        <v>74</v>
      </c>
      <c r="P103" t="s">
        <v>74</v>
      </c>
      <c r="Q103" t="s">
        <v>74</v>
      </c>
      <c r="R103" t="s">
        <v>74</v>
      </c>
      <c r="S103" t="s">
        <v>74</v>
      </c>
      <c r="T103" t="s">
        <v>74</v>
      </c>
      <c r="U103" t="s">
        <v>1637</v>
      </c>
      <c r="V103" t="s">
        <v>1638</v>
      </c>
      <c r="W103" t="s">
        <v>1639</v>
      </c>
      <c r="X103" t="s">
        <v>1640</v>
      </c>
      <c r="Y103" t="s">
        <v>1641</v>
      </c>
      <c r="Z103" t="s">
        <v>74</v>
      </c>
      <c r="AA103" t="s">
        <v>74</v>
      </c>
      <c r="AB103" t="s">
        <v>74</v>
      </c>
      <c r="AC103" t="s">
        <v>74</v>
      </c>
      <c r="AD103" t="s">
        <v>74</v>
      </c>
      <c r="AE103" t="s">
        <v>74</v>
      </c>
      <c r="AF103" t="s">
        <v>74</v>
      </c>
      <c r="AG103">
        <v>22</v>
      </c>
      <c r="AH103">
        <v>9</v>
      </c>
      <c r="AI103">
        <v>9</v>
      </c>
      <c r="AJ103">
        <v>0</v>
      </c>
      <c r="AK103">
        <v>3</v>
      </c>
      <c r="AL103" t="s">
        <v>203</v>
      </c>
      <c r="AM103" t="s">
        <v>204</v>
      </c>
      <c r="AN103" t="s">
        <v>205</v>
      </c>
      <c r="AO103" t="s">
        <v>206</v>
      </c>
      <c r="AP103" t="s">
        <v>74</v>
      </c>
      <c r="AQ103" t="s">
        <v>74</v>
      </c>
      <c r="AR103" t="s">
        <v>207</v>
      </c>
      <c r="AS103" t="s">
        <v>208</v>
      </c>
      <c r="AT103" t="s">
        <v>737</v>
      </c>
      <c r="AU103">
        <v>2001</v>
      </c>
      <c r="AV103">
        <v>24</v>
      </c>
      <c r="AW103">
        <v>11</v>
      </c>
      <c r="AX103" t="s">
        <v>74</v>
      </c>
      <c r="AY103" t="s">
        <v>74</v>
      </c>
      <c r="AZ103" t="s">
        <v>74</v>
      </c>
      <c r="BA103" t="s">
        <v>74</v>
      </c>
      <c r="BB103">
        <v>839</v>
      </c>
      <c r="BC103">
        <v>845</v>
      </c>
      <c r="BD103" t="s">
        <v>74</v>
      </c>
      <c r="BE103" t="s">
        <v>1642</v>
      </c>
      <c r="BF103" t="str">
        <f>HYPERLINK("http://dx.doi.org/10.1007/s003000100289","http://dx.doi.org/10.1007/s003000100289")</f>
        <v>http://dx.doi.org/10.1007/s003000100289</v>
      </c>
      <c r="BG103" t="s">
        <v>74</v>
      </c>
      <c r="BH103" t="s">
        <v>74</v>
      </c>
      <c r="BI103">
        <v>7</v>
      </c>
      <c r="BJ103" t="s">
        <v>209</v>
      </c>
      <c r="BK103" t="s">
        <v>88</v>
      </c>
      <c r="BL103" t="s">
        <v>210</v>
      </c>
      <c r="BM103" t="s">
        <v>1600</v>
      </c>
      <c r="BN103" t="s">
        <v>74</v>
      </c>
      <c r="BO103" t="s">
        <v>74</v>
      </c>
      <c r="BP103" t="s">
        <v>74</v>
      </c>
      <c r="BQ103" t="s">
        <v>74</v>
      </c>
      <c r="BR103" t="s">
        <v>91</v>
      </c>
      <c r="BS103" t="s">
        <v>1643</v>
      </c>
      <c r="BT103" t="str">
        <f>HYPERLINK("https%3A%2F%2Fwww.webofscience.com%2Fwos%2Fwoscc%2Ffull-record%2FWOS:000172275100006","View Full Record in Web of Science")</f>
        <v>View Full Record in Web of Science</v>
      </c>
    </row>
    <row r="104" spans="1:72" x14ac:dyDescent="0.15">
      <c r="A104" t="s">
        <v>72</v>
      </c>
      <c r="B104" t="s">
        <v>1644</v>
      </c>
      <c r="C104" t="s">
        <v>74</v>
      </c>
      <c r="D104" t="s">
        <v>74</v>
      </c>
      <c r="E104" t="s">
        <v>74</v>
      </c>
      <c r="F104" t="s">
        <v>1644</v>
      </c>
      <c r="G104" t="s">
        <v>74</v>
      </c>
      <c r="H104" t="s">
        <v>74</v>
      </c>
      <c r="I104" t="s">
        <v>1645</v>
      </c>
      <c r="J104" t="s">
        <v>194</v>
      </c>
      <c r="K104" t="s">
        <v>74</v>
      </c>
      <c r="L104" t="s">
        <v>74</v>
      </c>
      <c r="M104" t="s">
        <v>77</v>
      </c>
      <c r="N104" t="s">
        <v>120</v>
      </c>
      <c r="O104" t="s">
        <v>74</v>
      </c>
      <c r="P104" t="s">
        <v>74</v>
      </c>
      <c r="Q104" t="s">
        <v>74</v>
      </c>
      <c r="R104" t="s">
        <v>74</v>
      </c>
      <c r="S104" t="s">
        <v>74</v>
      </c>
      <c r="T104" t="s">
        <v>74</v>
      </c>
      <c r="U104" t="s">
        <v>1646</v>
      </c>
      <c r="V104" t="s">
        <v>1647</v>
      </c>
      <c r="W104" t="s">
        <v>1648</v>
      </c>
      <c r="X104" t="s">
        <v>1649</v>
      </c>
      <c r="Y104" t="s">
        <v>1650</v>
      </c>
      <c r="Z104" t="s">
        <v>1651</v>
      </c>
      <c r="AA104" t="s">
        <v>74</v>
      </c>
      <c r="AB104" t="s">
        <v>74</v>
      </c>
      <c r="AC104" t="s">
        <v>74</v>
      </c>
      <c r="AD104" t="s">
        <v>74</v>
      </c>
      <c r="AE104" t="s">
        <v>74</v>
      </c>
      <c r="AF104" t="s">
        <v>74</v>
      </c>
      <c r="AG104">
        <v>37</v>
      </c>
      <c r="AH104">
        <v>9</v>
      </c>
      <c r="AI104">
        <v>10</v>
      </c>
      <c r="AJ104">
        <v>0</v>
      </c>
      <c r="AK104">
        <v>2</v>
      </c>
      <c r="AL104" t="s">
        <v>248</v>
      </c>
      <c r="AM104" t="s">
        <v>204</v>
      </c>
      <c r="AN104" t="s">
        <v>249</v>
      </c>
      <c r="AO104" t="s">
        <v>206</v>
      </c>
      <c r="AP104" t="s">
        <v>250</v>
      </c>
      <c r="AQ104" t="s">
        <v>74</v>
      </c>
      <c r="AR104" t="s">
        <v>207</v>
      </c>
      <c r="AS104" t="s">
        <v>208</v>
      </c>
      <c r="AT104" t="s">
        <v>737</v>
      </c>
      <c r="AU104">
        <v>2001</v>
      </c>
      <c r="AV104">
        <v>24</v>
      </c>
      <c r="AW104">
        <v>11</v>
      </c>
      <c r="AX104" t="s">
        <v>74</v>
      </c>
      <c r="AY104" t="s">
        <v>74</v>
      </c>
      <c r="AZ104" t="s">
        <v>74</v>
      </c>
      <c r="BA104" t="s">
        <v>74</v>
      </c>
      <c r="BB104">
        <v>846</v>
      </c>
      <c r="BC104">
        <v>852</v>
      </c>
      <c r="BD104" t="s">
        <v>74</v>
      </c>
      <c r="BE104" t="s">
        <v>74</v>
      </c>
      <c r="BF104" t="s">
        <v>74</v>
      </c>
      <c r="BG104" t="s">
        <v>74</v>
      </c>
      <c r="BH104" t="s">
        <v>74</v>
      </c>
      <c r="BI104">
        <v>7</v>
      </c>
      <c r="BJ104" t="s">
        <v>209</v>
      </c>
      <c r="BK104" t="s">
        <v>88</v>
      </c>
      <c r="BL104" t="s">
        <v>210</v>
      </c>
      <c r="BM104" t="s">
        <v>1600</v>
      </c>
      <c r="BN104" t="s">
        <v>74</v>
      </c>
      <c r="BO104" t="s">
        <v>74</v>
      </c>
      <c r="BP104" t="s">
        <v>74</v>
      </c>
      <c r="BQ104" t="s">
        <v>74</v>
      </c>
      <c r="BR104" t="s">
        <v>91</v>
      </c>
      <c r="BS104" t="s">
        <v>1652</v>
      </c>
      <c r="BT104" t="str">
        <f>HYPERLINK("https%3A%2F%2Fwww.webofscience.com%2Fwos%2Fwoscc%2Ffull-record%2FWOS:000172275100007","View Full Record in Web of Science")</f>
        <v>View Full Record in Web of Science</v>
      </c>
    </row>
    <row r="105" spans="1:72" x14ac:dyDescent="0.15">
      <c r="A105" t="s">
        <v>72</v>
      </c>
      <c r="B105" t="s">
        <v>1653</v>
      </c>
      <c r="C105" t="s">
        <v>74</v>
      </c>
      <c r="D105" t="s">
        <v>74</v>
      </c>
      <c r="E105" t="s">
        <v>74</v>
      </c>
      <c r="F105" t="s">
        <v>1653</v>
      </c>
      <c r="G105" t="s">
        <v>74</v>
      </c>
      <c r="H105" t="s">
        <v>74</v>
      </c>
      <c r="I105" t="s">
        <v>1654</v>
      </c>
      <c r="J105" t="s">
        <v>194</v>
      </c>
      <c r="K105" t="s">
        <v>74</v>
      </c>
      <c r="L105" t="s">
        <v>74</v>
      </c>
      <c r="M105" t="s">
        <v>77</v>
      </c>
      <c r="N105" t="s">
        <v>120</v>
      </c>
      <c r="O105" t="s">
        <v>74</v>
      </c>
      <c r="P105" t="s">
        <v>74</v>
      </c>
      <c r="Q105" t="s">
        <v>74</v>
      </c>
      <c r="R105" t="s">
        <v>74</v>
      </c>
      <c r="S105" t="s">
        <v>74</v>
      </c>
      <c r="T105" t="s">
        <v>74</v>
      </c>
      <c r="U105" t="s">
        <v>1655</v>
      </c>
      <c r="V105" t="s">
        <v>1656</v>
      </c>
      <c r="W105" t="s">
        <v>1657</v>
      </c>
      <c r="X105" t="s">
        <v>1658</v>
      </c>
      <c r="Y105" t="s">
        <v>1659</v>
      </c>
      <c r="Z105" t="s">
        <v>74</v>
      </c>
      <c r="AA105" t="s">
        <v>1660</v>
      </c>
      <c r="AB105" t="s">
        <v>1661</v>
      </c>
      <c r="AC105" t="s">
        <v>74</v>
      </c>
      <c r="AD105" t="s">
        <v>74</v>
      </c>
      <c r="AE105" t="s">
        <v>74</v>
      </c>
      <c r="AF105" t="s">
        <v>74</v>
      </c>
      <c r="AG105">
        <v>56</v>
      </c>
      <c r="AH105">
        <v>97</v>
      </c>
      <c r="AI105">
        <v>109</v>
      </c>
      <c r="AJ105">
        <v>0</v>
      </c>
      <c r="AK105">
        <v>24</v>
      </c>
      <c r="AL105" t="s">
        <v>203</v>
      </c>
      <c r="AM105" t="s">
        <v>204</v>
      </c>
      <c r="AN105" t="s">
        <v>205</v>
      </c>
      <c r="AO105" t="s">
        <v>206</v>
      </c>
      <c r="AP105" t="s">
        <v>74</v>
      </c>
      <c r="AQ105" t="s">
        <v>74</v>
      </c>
      <c r="AR105" t="s">
        <v>207</v>
      </c>
      <c r="AS105" t="s">
        <v>208</v>
      </c>
      <c r="AT105" t="s">
        <v>737</v>
      </c>
      <c r="AU105">
        <v>2001</v>
      </c>
      <c r="AV105">
        <v>24</v>
      </c>
      <c r="AW105">
        <v>11</v>
      </c>
      <c r="AX105" t="s">
        <v>74</v>
      </c>
      <c r="AY105" t="s">
        <v>74</v>
      </c>
      <c r="AZ105" t="s">
        <v>74</v>
      </c>
      <c r="BA105" t="s">
        <v>74</v>
      </c>
      <c r="BB105">
        <v>853</v>
      </c>
      <c r="BC105">
        <v>862</v>
      </c>
      <c r="BD105" t="s">
        <v>74</v>
      </c>
      <c r="BE105" t="s">
        <v>74</v>
      </c>
      <c r="BF105" t="s">
        <v>74</v>
      </c>
      <c r="BG105" t="s">
        <v>74</v>
      </c>
      <c r="BH105" t="s">
        <v>74</v>
      </c>
      <c r="BI105">
        <v>10</v>
      </c>
      <c r="BJ105" t="s">
        <v>209</v>
      </c>
      <c r="BK105" t="s">
        <v>88</v>
      </c>
      <c r="BL105" t="s">
        <v>210</v>
      </c>
      <c r="BM105" t="s">
        <v>1600</v>
      </c>
      <c r="BN105" t="s">
        <v>74</v>
      </c>
      <c r="BO105" t="s">
        <v>74</v>
      </c>
      <c r="BP105" t="s">
        <v>74</v>
      </c>
      <c r="BQ105" t="s">
        <v>74</v>
      </c>
      <c r="BR105" t="s">
        <v>91</v>
      </c>
      <c r="BS105" t="s">
        <v>1662</v>
      </c>
      <c r="BT105" t="str">
        <f>HYPERLINK("https%3A%2F%2Fwww.webofscience.com%2Fwos%2Fwoscc%2Ffull-record%2FWOS:000172275100008","View Full Record in Web of Science")</f>
        <v>View Full Record in Web of Science</v>
      </c>
    </row>
    <row r="106" spans="1:72" x14ac:dyDescent="0.15">
      <c r="A106" t="s">
        <v>72</v>
      </c>
      <c r="B106" t="s">
        <v>1663</v>
      </c>
      <c r="C106" t="s">
        <v>74</v>
      </c>
      <c r="D106" t="s">
        <v>74</v>
      </c>
      <c r="E106" t="s">
        <v>74</v>
      </c>
      <c r="F106" t="s">
        <v>1663</v>
      </c>
      <c r="G106" t="s">
        <v>74</v>
      </c>
      <c r="H106" t="s">
        <v>74</v>
      </c>
      <c r="I106" t="s">
        <v>1664</v>
      </c>
      <c r="J106" t="s">
        <v>194</v>
      </c>
      <c r="K106" t="s">
        <v>74</v>
      </c>
      <c r="L106" t="s">
        <v>74</v>
      </c>
      <c r="M106" t="s">
        <v>77</v>
      </c>
      <c r="N106" t="s">
        <v>120</v>
      </c>
      <c r="O106" t="s">
        <v>74</v>
      </c>
      <c r="P106" t="s">
        <v>74</v>
      </c>
      <c r="Q106" t="s">
        <v>74</v>
      </c>
      <c r="R106" t="s">
        <v>74</v>
      </c>
      <c r="S106" t="s">
        <v>74</v>
      </c>
      <c r="T106" t="s">
        <v>74</v>
      </c>
      <c r="U106" t="s">
        <v>1665</v>
      </c>
      <c r="V106" t="s">
        <v>1666</v>
      </c>
      <c r="W106" t="s">
        <v>1667</v>
      </c>
      <c r="X106" t="s">
        <v>1668</v>
      </c>
      <c r="Y106" t="s">
        <v>1669</v>
      </c>
      <c r="Z106" t="s">
        <v>74</v>
      </c>
      <c r="AA106" t="s">
        <v>1670</v>
      </c>
      <c r="AB106" t="s">
        <v>1671</v>
      </c>
      <c r="AC106" t="s">
        <v>74</v>
      </c>
      <c r="AD106" t="s">
        <v>74</v>
      </c>
      <c r="AE106" t="s">
        <v>74</v>
      </c>
      <c r="AF106" t="s">
        <v>74</v>
      </c>
      <c r="AG106">
        <v>32</v>
      </c>
      <c r="AH106">
        <v>45</v>
      </c>
      <c r="AI106">
        <v>54</v>
      </c>
      <c r="AJ106">
        <v>1</v>
      </c>
      <c r="AK106">
        <v>9</v>
      </c>
      <c r="AL106" t="s">
        <v>203</v>
      </c>
      <c r="AM106" t="s">
        <v>204</v>
      </c>
      <c r="AN106" t="s">
        <v>205</v>
      </c>
      <c r="AO106" t="s">
        <v>206</v>
      </c>
      <c r="AP106" t="s">
        <v>74</v>
      </c>
      <c r="AQ106" t="s">
        <v>74</v>
      </c>
      <c r="AR106" t="s">
        <v>207</v>
      </c>
      <c r="AS106" t="s">
        <v>208</v>
      </c>
      <c r="AT106" t="s">
        <v>737</v>
      </c>
      <c r="AU106">
        <v>2001</v>
      </c>
      <c r="AV106">
        <v>24</v>
      </c>
      <c r="AW106">
        <v>11</v>
      </c>
      <c r="AX106" t="s">
        <v>74</v>
      </c>
      <c r="AY106" t="s">
        <v>74</v>
      </c>
      <c r="AZ106" t="s">
        <v>74</v>
      </c>
      <c r="BA106" t="s">
        <v>74</v>
      </c>
      <c r="BB106">
        <v>863</v>
      </c>
      <c r="BC106">
        <v>868</v>
      </c>
      <c r="BD106" t="s">
        <v>74</v>
      </c>
      <c r="BE106" t="s">
        <v>1672</v>
      </c>
      <c r="BF106" t="str">
        <f>HYPERLINK("http://dx.doi.org/10.1007/s003000100296","http://dx.doi.org/10.1007/s003000100296")</f>
        <v>http://dx.doi.org/10.1007/s003000100296</v>
      </c>
      <c r="BG106" t="s">
        <v>74</v>
      </c>
      <c r="BH106" t="s">
        <v>74</v>
      </c>
      <c r="BI106">
        <v>6</v>
      </c>
      <c r="BJ106" t="s">
        <v>209</v>
      </c>
      <c r="BK106" t="s">
        <v>88</v>
      </c>
      <c r="BL106" t="s">
        <v>210</v>
      </c>
      <c r="BM106" t="s">
        <v>1600</v>
      </c>
      <c r="BN106" t="s">
        <v>74</v>
      </c>
      <c r="BO106" t="s">
        <v>74</v>
      </c>
      <c r="BP106" t="s">
        <v>74</v>
      </c>
      <c r="BQ106" t="s">
        <v>74</v>
      </c>
      <c r="BR106" t="s">
        <v>91</v>
      </c>
      <c r="BS106" t="s">
        <v>1673</v>
      </c>
      <c r="BT106" t="str">
        <f>HYPERLINK("https%3A%2F%2Fwww.webofscience.com%2Fwos%2Fwoscc%2Ffull-record%2FWOS:000172275100009","View Full Record in Web of Science")</f>
        <v>View Full Record in Web of Science</v>
      </c>
    </row>
    <row r="107" spans="1:72" x14ac:dyDescent="0.15">
      <c r="A107" t="s">
        <v>72</v>
      </c>
      <c r="B107" t="s">
        <v>1674</v>
      </c>
      <c r="C107" t="s">
        <v>74</v>
      </c>
      <c r="D107" t="s">
        <v>74</v>
      </c>
      <c r="E107" t="s">
        <v>74</v>
      </c>
      <c r="F107" t="s">
        <v>1674</v>
      </c>
      <c r="G107" t="s">
        <v>74</v>
      </c>
      <c r="H107" t="s">
        <v>74</v>
      </c>
      <c r="I107" t="s">
        <v>1675</v>
      </c>
      <c r="J107" t="s">
        <v>194</v>
      </c>
      <c r="K107" t="s">
        <v>74</v>
      </c>
      <c r="L107" t="s">
        <v>74</v>
      </c>
      <c r="M107" t="s">
        <v>77</v>
      </c>
      <c r="N107" t="s">
        <v>120</v>
      </c>
      <c r="O107" t="s">
        <v>74</v>
      </c>
      <c r="P107" t="s">
        <v>74</v>
      </c>
      <c r="Q107" t="s">
        <v>74</v>
      </c>
      <c r="R107" t="s">
        <v>74</v>
      </c>
      <c r="S107" t="s">
        <v>74</v>
      </c>
      <c r="T107" t="s">
        <v>74</v>
      </c>
      <c r="U107" t="s">
        <v>1676</v>
      </c>
      <c r="V107" t="s">
        <v>1677</v>
      </c>
      <c r="W107" t="s">
        <v>1678</v>
      </c>
      <c r="X107" t="s">
        <v>1679</v>
      </c>
      <c r="Y107" t="s">
        <v>1680</v>
      </c>
      <c r="Z107" t="s">
        <v>1681</v>
      </c>
      <c r="AA107" t="s">
        <v>1682</v>
      </c>
      <c r="AB107" t="s">
        <v>1683</v>
      </c>
      <c r="AC107" t="s">
        <v>74</v>
      </c>
      <c r="AD107" t="s">
        <v>74</v>
      </c>
      <c r="AE107" t="s">
        <v>74</v>
      </c>
      <c r="AF107" t="s">
        <v>74</v>
      </c>
      <c r="AG107">
        <v>18</v>
      </c>
      <c r="AH107">
        <v>30</v>
      </c>
      <c r="AI107">
        <v>30</v>
      </c>
      <c r="AJ107">
        <v>0</v>
      </c>
      <c r="AK107">
        <v>9</v>
      </c>
      <c r="AL107" t="s">
        <v>248</v>
      </c>
      <c r="AM107" t="s">
        <v>204</v>
      </c>
      <c r="AN107" t="s">
        <v>249</v>
      </c>
      <c r="AO107" t="s">
        <v>206</v>
      </c>
      <c r="AP107" t="s">
        <v>250</v>
      </c>
      <c r="AQ107" t="s">
        <v>74</v>
      </c>
      <c r="AR107" t="s">
        <v>207</v>
      </c>
      <c r="AS107" t="s">
        <v>208</v>
      </c>
      <c r="AT107" t="s">
        <v>737</v>
      </c>
      <c r="AU107">
        <v>2001</v>
      </c>
      <c r="AV107">
        <v>24</v>
      </c>
      <c r="AW107">
        <v>11</v>
      </c>
      <c r="AX107" t="s">
        <v>74</v>
      </c>
      <c r="AY107" t="s">
        <v>74</v>
      </c>
      <c r="AZ107" t="s">
        <v>74</v>
      </c>
      <c r="BA107" t="s">
        <v>74</v>
      </c>
      <c r="BB107">
        <v>869</v>
      </c>
      <c r="BC107">
        <v>874</v>
      </c>
      <c r="BD107" t="s">
        <v>74</v>
      </c>
      <c r="BE107" t="s">
        <v>1684</v>
      </c>
      <c r="BF107" t="str">
        <f>HYPERLINK("http://dx.doi.org/10.1007/s003000100298","http://dx.doi.org/10.1007/s003000100298")</f>
        <v>http://dx.doi.org/10.1007/s003000100298</v>
      </c>
      <c r="BG107" t="s">
        <v>74</v>
      </c>
      <c r="BH107" t="s">
        <v>74</v>
      </c>
      <c r="BI107">
        <v>6</v>
      </c>
      <c r="BJ107" t="s">
        <v>209</v>
      </c>
      <c r="BK107" t="s">
        <v>88</v>
      </c>
      <c r="BL107" t="s">
        <v>210</v>
      </c>
      <c r="BM107" t="s">
        <v>1600</v>
      </c>
      <c r="BN107" t="s">
        <v>74</v>
      </c>
      <c r="BO107" t="s">
        <v>1685</v>
      </c>
      <c r="BP107" t="s">
        <v>74</v>
      </c>
      <c r="BQ107" t="s">
        <v>74</v>
      </c>
      <c r="BR107" t="s">
        <v>91</v>
      </c>
      <c r="BS107" t="s">
        <v>1686</v>
      </c>
      <c r="BT107" t="str">
        <f>HYPERLINK("https%3A%2F%2Fwww.webofscience.com%2Fwos%2Fwoscc%2Ffull-record%2FWOS:000172275100010","View Full Record in Web of Science")</f>
        <v>View Full Record in Web of Science</v>
      </c>
    </row>
    <row r="108" spans="1:72" x14ac:dyDescent="0.15">
      <c r="A108" t="s">
        <v>72</v>
      </c>
      <c r="B108" t="s">
        <v>1687</v>
      </c>
      <c r="C108" t="s">
        <v>74</v>
      </c>
      <c r="D108" t="s">
        <v>74</v>
      </c>
      <c r="E108" t="s">
        <v>74</v>
      </c>
      <c r="F108" t="s">
        <v>1687</v>
      </c>
      <c r="G108" t="s">
        <v>74</v>
      </c>
      <c r="H108" t="s">
        <v>74</v>
      </c>
      <c r="I108" t="s">
        <v>1688</v>
      </c>
      <c r="J108" t="s">
        <v>1689</v>
      </c>
      <c r="K108" t="s">
        <v>74</v>
      </c>
      <c r="L108" t="s">
        <v>74</v>
      </c>
      <c r="M108" t="s">
        <v>77</v>
      </c>
      <c r="N108" t="s">
        <v>120</v>
      </c>
      <c r="O108" t="s">
        <v>74</v>
      </c>
      <c r="P108" t="s">
        <v>74</v>
      </c>
      <c r="Q108" t="s">
        <v>74</v>
      </c>
      <c r="R108" t="s">
        <v>74</v>
      </c>
      <c r="S108" t="s">
        <v>74</v>
      </c>
      <c r="T108" t="s">
        <v>1690</v>
      </c>
      <c r="U108" t="s">
        <v>1691</v>
      </c>
      <c r="V108" t="s">
        <v>1692</v>
      </c>
      <c r="W108" t="s">
        <v>1693</v>
      </c>
      <c r="X108" t="s">
        <v>1694</v>
      </c>
      <c r="Y108" t="s">
        <v>1695</v>
      </c>
      <c r="Z108" t="s">
        <v>1696</v>
      </c>
      <c r="AA108" t="s">
        <v>1697</v>
      </c>
      <c r="AB108" t="s">
        <v>1698</v>
      </c>
      <c r="AC108" t="s">
        <v>74</v>
      </c>
      <c r="AD108" t="s">
        <v>74</v>
      </c>
      <c r="AE108" t="s">
        <v>74</v>
      </c>
      <c r="AF108" t="s">
        <v>74</v>
      </c>
      <c r="AG108">
        <v>66</v>
      </c>
      <c r="AH108">
        <v>82</v>
      </c>
      <c r="AI108">
        <v>97</v>
      </c>
      <c r="AJ108">
        <v>2</v>
      </c>
      <c r="AK108">
        <v>24</v>
      </c>
      <c r="AL108" t="s">
        <v>1293</v>
      </c>
      <c r="AM108" t="s">
        <v>204</v>
      </c>
      <c r="AN108" t="s">
        <v>1699</v>
      </c>
      <c r="AO108" t="s">
        <v>1700</v>
      </c>
      <c r="AP108" t="s">
        <v>1701</v>
      </c>
      <c r="AQ108" t="s">
        <v>74</v>
      </c>
      <c r="AR108" t="s">
        <v>1702</v>
      </c>
      <c r="AS108" t="s">
        <v>1703</v>
      </c>
      <c r="AT108" t="s">
        <v>737</v>
      </c>
      <c r="AU108">
        <v>2001</v>
      </c>
      <c r="AV108">
        <v>56</v>
      </c>
      <c r="AW108">
        <v>3</v>
      </c>
      <c r="AX108" t="s">
        <v>74</v>
      </c>
      <c r="AY108" t="s">
        <v>74</v>
      </c>
      <c r="AZ108" t="s">
        <v>74</v>
      </c>
      <c r="BA108" t="s">
        <v>74</v>
      </c>
      <c r="BB108">
        <v>289</v>
      </c>
      <c r="BC108">
        <v>298</v>
      </c>
      <c r="BD108" t="s">
        <v>74</v>
      </c>
      <c r="BE108" t="s">
        <v>1704</v>
      </c>
      <c r="BF108" t="str">
        <f>HYPERLINK("http://dx.doi.org/10.1006/qres.2001.2276","http://dx.doi.org/10.1006/qres.2001.2276")</f>
        <v>http://dx.doi.org/10.1006/qres.2001.2276</v>
      </c>
      <c r="BG108" t="s">
        <v>74</v>
      </c>
      <c r="BH108" t="s">
        <v>74</v>
      </c>
      <c r="BI108">
        <v>10</v>
      </c>
      <c r="BJ108" t="s">
        <v>1049</v>
      </c>
      <c r="BK108" t="s">
        <v>88</v>
      </c>
      <c r="BL108" t="s">
        <v>1050</v>
      </c>
      <c r="BM108" t="s">
        <v>1705</v>
      </c>
      <c r="BN108" t="s">
        <v>74</v>
      </c>
      <c r="BO108" t="s">
        <v>74</v>
      </c>
      <c r="BP108" t="s">
        <v>74</v>
      </c>
      <c r="BQ108" t="s">
        <v>74</v>
      </c>
      <c r="BR108" t="s">
        <v>91</v>
      </c>
      <c r="BS108" t="s">
        <v>1706</v>
      </c>
      <c r="BT108" t="str">
        <f>HYPERLINK("https%3A%2F%2Fwww.webofscience.com%2Fwos%2Fwoscc%2Ffull-record%2FWOS:000172212000001","View Full Record in Web of Science")</f>
        <v>View Full Record in Web of Science</v>
      </c>
    </row>
    <row r="109" spans="1:72" x14ac:dyDescent="0.15">
      <c r="A109" t="s">
        <v>72</v>
      </c>
      <c r="B109" t="s">
        <v>1707</v>
      </c>
      <c r="C109" t="s">
        <v>74</v>
      </c>
      <c r="D109" t="s">
        <v>74</v>
      </c>
      <c r="E109" t="s">
        <v>74</v>
      </c>
      <c r="F109" t="s">
        <v>1707</v>
      </c>
      <c r="G109" t="s">
        <v>74</v>
      </c>
      <c r="H109" t="s">
        <v>74</v>
      </c>
      <c r="I109" t="s">
        <v>1708</v>
      </c>
      <c r="J109" t="s">
        <v>1689</v>
      </c>
      <c r="K109" t="s">
        <v>74</v>
      </c>
      <c r="L109" t="s">
        <v>74</v>
      </c>
      <c r="M109" t="s">
        <v>77</v>
      </c>
      <c r="N109" t="s">
        <v>120</v>
      </c>
      <c r="O109" t="s">
        <v>74</v>
      </c>
      <c r="P109" t="s">
        <v>74</v>
      </c>
      <c r="Q109" t="s">
        <v>74</v>
      </c>
      <c r="R109" t="s">
        <v>74</v>
      </c>
      <c r="S109" t="s">
        <v>74</v>
      </c>
      <c r="T109" t="s">
        <v>1709</v>
      </c>
      <c r="U109" t="s">
        <v>1710</v>
      </c>
      <c r="V109" t="s">
        <v>1711</v>
      </c>
      <c r="W109" t="s">
        <v>1712</v>
      </c>
      <c r="X109" t="s">
        <v>1713</v>
      </c>
      <c r="Y109" t="s">
        <v>1714</v>
      </c>
      <c r="Z109" t="s">
        <v>74</v>
      </c>
      <c r="AA109" t="s">
        <v>74</v>
      </c>
      <c r="AB109" t="s">
        <v>74</v>
      </c>
      <c r="AC109" t="s">
        <v>74</v>
      </c>
      <c r="AD109" t="s">
        <v>74</v>
      </c>
      <c r="AE109" t="s">
        <v>74</v>
      </c>
      <c r="AF109" t="s">
        <v>74</v>
      </c>
      <c r="AG109">
        <v>72</v>
      </c>
      <c r="AH109">
        <v>20</v>
      </c>
      <c r="AI109">
        <v>30</v>
      </c>
      <c r="AJ109">
        <v>0</v>
      </c>
      <c r="AK109">
        <v>2</v>
      </c>
      <c r="AL109" t="s">
        <v>1293</v>
      </c>
      <c r="AM109" t="s">
        <v>204</v>
      </c>
      <c r="AN109" t="s">
        <v>1699</v>
      </c>
      <c r="AO109" t="s">
        <v>1700</v>
      </c>
      <c r="AP109" t="s">
        <v>1701</v>
      </c>
      <c r="AQ109" t="s">
        <v>74</v>
      </c>
      <c r="AR109" t="s">
        <v>1702</v>
      </c>
      <c r="AS109" t="s">
        <v>1703</v>
      </c>
      <c r="AT109" t="s">
        <v>737</v>
      </c>
      <c r="AU109">
        <v>2001</v>
      </c>
      <c r="AV109">
        <v>56</v>
      </c>
      <c r="AW109">
        <v>3</v>
      </c>
      <c r="AX109" t="s">
        <v>74</v>
      </c>
      <c r="AY109" t="s">
        <v>74</v>
      </c>
      <c r="AZ109" t="s">
        <v>74</v>
      </c>
      <c r="BA109" t="s">
        <v>74</v>
      </c>
      <c r="BB109">
        <v>299</v>
      </c>
      <c r="BC109">
        <v>307</v>
      </c>
      <c r="BD109" t="s">
        <v>74</v>
      </c>
      <c r="BE109" t="s">
        <v>1715</v>
      </c>
      <c r="BF109" t="str">
        <f>HYPERLINK("http://dx.doi.org/10.1006/qres.2001.2272","http://dx.doi.org/10.1006/qres.2001.2272")</f>
        <v>http://dx.doi.org/10.1006/qres.2001.2272</v>
      </c>
      <c r="BG109" t="s">
        <v>74</v>
      </c>
      <c r="BH109" t="s">
        <v>74</v>
      </c>
      <c r="BI109">
        <v>9</v>
      </c>
      <c r="BJ109" t="s">
        <v>1049</v>
      </c>
      <c r="BK109" t="s">
        <v>88</v>
      </c>
      <c r="BL109" t="s">
        <v>1050</v>
      </c>
      <c r="BM109" t="s">
        <v>1705</v>
      </c>
      <c r="BN109" t="s">
        <v>74</v>
      </c>
      <c r="BO109" t="s">
        <v>74</v>
      </c>
      <c r="BP109" t="s">
        <v>74</v>
      </c>
      <c r="BQ109" t="s">
        <v>74</v>
      </c>
      <c r="BR109" t="s">
        <v>91</v>
      </c>
      <c r="BS109" t="s">
        <v>1716</v>
      </c>
      <c r="BT109" t="str">
        <f>HYPERLINK("https%3A%2F%2Fwww.webofscience.com%2Fwos%2Fwoscc%2Ffull-record%2FWOS:000172212000002","View Full Record in Web of Science")</f>
        <v>View Full Record in Web of Science</v>
      </c>
    </row>
    <row r="110" spans="1:72" x14ac:dyDescent="0.15">
      <c r="A110" t="s">
        <v>72</v>
      </c>
      <c r="B110" t="s">
        <v>1717</v>
      </c>
      <c r="C110" t="s">
        <v>74</v>
      </c>
      <c r="D110" t="s">
        <v>74</v>
      </c>
      <c r="E110" t="s">
        <v>74</v>
      </c>
      <c r="F110" t="s">
        <v>1717</v>
      </c>
      <c r="G110" t="s">
        <v>74</v>
      </c>
      <c r="H110" t="s">
        <v>74</v>
      </c>
      <c r="I110" t="s">
        <v>1718</v>
      </c>
      <c r="J110" t="s">
        <v>1689</v>
      </c>
      <c r="K110" t="s">
        <v>74</v>
      </c>
      <c r="L110" t="s">
        <v>74</v>
      </c>
      <c r="M110" t="s">
        <v>77</v>
      </c>
      <c r="N110" t="s">
        <v>120</v>
      </c>
      <c r="O110" t="s">
        <v>74</v>
      </c>
      <c r="P110" t="s">
        <v>74</v>
      </c>
      <c r="Q110" t="s">
        <v>74</v>
      </c>
      <c r="R110" t="s">
        <v>74</v>
      </c>
      <c r="S110" t="s">
        <v>74</v>
      </c>
      <c r="T110" t="s">
        <v>1719</v>
      </c>
      <c r="U110" t="s">
        <v>1720</v>
      </c>
      <c r="V110" t="s">
        <v>1721</v>
      </c>
      <c r="W110" t="s">
        <v>1722</v>
      </c>
      <c r="X110" t="s">
        <v>1723</v>
      </c>
      <c r="Y110" t="s">
        <v>1724</v>
      </c>
      <c r="Z110" t="s">
        <v>1725</v>
      </c>
      <c r="AA110" t="s">
        <v>74</v>
      </c>
      <c r="AB110" t="s">
        <v>1726</v>
      </c>
      <c r="AC110" t="s">
        <v>74</v>
      </c>
      <c r="AD110" t="s">
        <v>74</v>
      </c>
      <c r="AE110" t="s">
        <v>74</v>
      </c>
      <c r="AF110" t="s">
        <v>74</v>
      </c>
      <c r="AG110">
        <v>47</v>
      </c>
      <c r="AH110">
        <v>50</v>
      </c>
      <c r="AI110">
        <v>55</v>
      </c>
      <c r="AJ110">
        <v>0</v>
      </c>
      <c r="AK110">
        <v>14</v>
      </c>
      <c r="AL110" t="s">
        <v>1293</v>
      </c>
      <c r="AM110" t="s">
        <v>204</v>
      </c>
      <c r="AN110" t="s">
        <v>1699</v>
      </c>
      <c r="AO110" t="s">
        <v>1700</v>
      </c>
      <c r="AP110" t="s">
        <v>1701</v>
      </c>
      <c r="AQ110" t="s">
        <v>74</v>
      </c>
      <c r="AR110" t="s">
        <v>1702</v>
      </c>
      <c r="AS110" t="s">
        <v>1703</v>
      </c>
      <c r="AT110" t="s">
        <v>737</v>
      </c>
      <c r="AU110">
        <v>2001</v>
      </c>
      <c r="AV110">
        <v>56</v>
      </c>
      <c r="AW110">
        <v>3</v>
      </c>
      <c r="AX110" t="s">
        <v>74</v>
      </c>
      <c r="AY110" t="s">
        <v>74</v>
      </c>
      <c r="AZ110" t="s">
        <v>74</v>
      </c>
      <c r="BA110" t="s">
        <v>74</v>
      </c>
      <c r="BB110">
        <v>308</v>
      </c>
      <c r="BC110">
        <v>321</v>
      </c>
      <c r="BD110" t="s">
        <v>74</v>
      </c>
      <c r="BE110" t="s">
        <v>1727</v>
      </c>
      <c r="BF110" t="str">
        <f>HYPERLINK("http://dx.doi.org/10.1006/qres.2001.2267","http://dx.doi.org/10.1006/qres.2001.2267")</f>
        <v>http://dx.doi.org/10.1006/qres.2001.2267</v>
      </c>
      <c r="BG110" t="s">
        <v>74</v>
      </c>
      <c r="BH110" t="s">
        <v>74</v>
      </c>
      <c r="BI110">
        <v>14</v>
      </c>
      <c r="BJ110" t="s">
        <v>1049</v>
      </c>
      <c r="BK110" t="s">
        <v>88</v>
      </c>
      <c r="BL110" t="s">
        <v>1050</v>
      </c>
      <c r="BM110" t="s">
        <v>1705</v>
      </c>
      <c r="BN110" t="s">
        <v>74</v>
      </c>
      <c r="BO110" t="s">
        <v>74</v>
      </c>
      <c r="BP110" t="s">
        <v>74</v>
      </c>
      <c r="BQ110" t="s">
        <v>74</v>
      </c>
      <c r="BR110" t="s">
        <v>91</v>
      </c>
      <c r="BS110" t="s">
        <v>1728</v>
      </c>
      <c r="BT110" t="str">
        <f>HYPERLINK("https%3A%2F%2Fwww.webofscience.com%2Fwos%2Fwoscc%2Ffull-record%2FWOS:000172212000003","View Full Record in Web of Science")</f>
        <v>View Full Record in Web of Science</v>
      </c>
    </row>
    <row r="111" spans="1:72" x14ac:dyDescent="0.15">
      <c r="A111" t="s">
        <v>72</v>
      </c>
      <c r="B111" t="s">
        <v>1729</v>
      </c>
      <c r="C111" t="s">
        <v>74</v>
      </c>
      <c r="D111" t="s">
        <v>74</v>
      </c>
      <c r="E111" t="s">
        <v>74</v>
      </c>
      <c r="F111" t="s">
        <v>1729</v>
      </c>
      <c r="G111" t="s">
        <v>74</v>
      </c>
      <c r="H111" t="s">
        <v>74</v>
      </c>
      <c r="I111" t="s">
        <v>1730</v>
      </c>
      <c r="J111" t="s">
        <v>1689</v>
      </c>
      <c r="K111" t="s">
        <v>74</v>
      </c>
      <c r="L111" t="s">
        <v>74</v>
      </c>
      <c r="M111" t="s">
        <v>77</v>
      </c>
      <c r="N111" t="s">
        <v>120</v>
      </c>
      <c r="O111" t="s">
        <v>74</v>
      </c>
      <c r="P111" t="s">
        <v>74</v>
      </c>
      <c r="Q111" t="s">
        <v>74</v>
      </c>
      <c r="R111" t="s">
        <v>74</v>
      </c>
      <c r="S111" t="s">
        <v>74</v>
      </c>
      <c r="T111" t="s">
        <v>1731</v>
      </c>
      <c r="U111" t="s">
        <v>1732</v>
      </c>
      <c r="V111" t="s">
        <v>1733</v>
      </c>
      <c r="W111" t="s">
        <v>1734</v>
      </c>
      <c r="X111" t="s">
        <v>1735</v>
      </c>
      <c r="Y111" t="s">
        <v>1736</v>
      </c>
      <c r="Z111" t="s">
        <v>74</v>
      </c>
      <c r="AA111" t="s">
        <v>1737</v>
      </c>
      <c r="AB111" t="s">
        <v>1738</v>
      </c>
      <c r="AC111" t="s">
        <v>74</v>
      </c>
      <c r="AD111" t="s">
        <v>74</v>
      </c>
      <c r="AE111" t="s">
        <v>74</v>
      </c>
      <c r="AF111" t="s">
        <v>74</v>
      </c>
      <c r="AG111">
        <v>22</v>
      </c>
      <c r="AH111">
        <v>150</v>
      </c>
      <c r="AI111">
        <v>165</v>
      </c>
      <c r="AJ111">
        <v>1</v>
      </c>
      <c r="AK111">
        <v>16</v>
      </c>
      <c r="AL111" t="s">
        <v>1739</v>
      </c>
      <c r="AM111" t="s">
        <v>1133</v>
      </c>
      <c r="AN111" t="s">
        <v>1134</v>
      </c>
      <c r="AO111" t="s">
        <v>1700</v>
      </c>
      <c r="AP111" t="s">
        <v>74</v>
      </c>
      <c r="AQ111" t="s">
        <v>74</v>
      </c>
      <c r="AR111" t="s">
        <v>1702</v>
      </c>
      <c r="AS111" t="s">
        <v>1703</v>
      </c>
      <c r="AT111" t="s">
        <v>737</v>
      </c>
      <c r="AU111">
        <v>2001</v>
      </c>
      <c r="AV111">
        <v>56</v>
      </c>
      <c r="AW111">
        <v>3</v>
      </c>
      <c r="AX111" t="s">
        <v>74</v>
      </c>
      <c r="AY111" t="s">
        <v>74</v>
      </c>
      <c r="AZ111" t="s">
        <v>74</v>
      </c>
      <c r="BA111" t="s">
        <v>74</v>
      </c>
      <c r="BB111">
        <v>383</v>
      </c>
      <c r="BC111">
        <v>389</v>
      </c>
      <c r="BD111" t="s">
        <v>74</v>
      </c>
      <c r="BE111" t="s">
        <v>1740</v>
      </c>
      <c r="BF111" t="str">
        <f>HYPERLINK("http://dx.doi.org/10.1006/qres.2001.2264","http://dx.doi.org/10.1006/qres.2001.2264")</f>
        <v>http://dx.doi.org/10.1006/qres.2001.2264</v>
      </c>
      <c r="BG111" t="s">
        <v>74</v>
      </c>
      <c r="BH111" t="s">
        <v>74</v>
      </c>
      <c r="BI111">
        <v>7</v>
      </c>
      <c r="BJ111" t="s">
        <v>1049</v>
      </c>
      <c r="BK111" t="s">
        <v>88</v>
      </c>
      <c r="BL111" t="s">
        <v>1050</v>
      </c>
      <c r="BM111" t="s">
        <v>1705</v>
      </c>
      <c r="BN111" t="s">
        <v>74</v>
      </c>
      <c r="BO111" t="s">
        <v>74</v>
      </c>
      <c r="BP111" t="s">
        <v>74</v>
      </c>
      <c r="BQ111" t="s">
        <v>74</v>
      </c>
      <c r="BR111" t="s">
        <v>91</v>
      </c>
      <c r="BS111" t="s">
        <v>1741</v>
      </c>
      <c r="BT111" t="str">
        <f>HYPERLINK("https%3A%2F%2Fwww.webofscience.com%2Fwos%2Fwoscc%2Ffull-record%2FWOS:000172212000009","View Full Record in Web of Science")</f>
        <v>View Full Record in Web of Science</v>
      </c>
    </row>
    <row r="112" spans="1:72" x14ac:dyDescent="0.15">
      <c r="A112" t="s">
        <v>72</v>
      </c>
      <c r="B112" t="s">
        <v>1742</v>
      </c>
      <c r="C112" t="s">
        <v>74</v>
      </c>
      <c r="D112" t="s">
        <v>74</v>
      </c>
      <c r="E112" t="s">
        <v>74</v>
      </c>
      <c r="F112" t="s">
        <v>1742</v>
      </c>
      <c r="G112" t="s">
        <v>74</v>
      </c>
      <c r="H112" t="s">
        <v>74</v>
      </c>
      <c r="I112" t="s">
        <v>1743</v>
      </c>
      <c r="J112" t="s">
        <v>1744</v>
      </c>
      <c r="K112" t="s">
        <v>74</v>
      </c>
      <c r="L112" t="s">
        <v>74</v>
      </c>
      <c r="M112" t="s">
        <v>1745</v>
      </c>
      <c r="N112" t="s">
        <v>120</v>
      </c>
      <c r="O112" t="s">
        <v>74</v>
      </c>
      <c r="P112" t="s">
        <v>74</v>
      </c>
      <c r="Q112" t="s">
        <v>74</v>
      </c>
      <c r="R112" t="s">
        <v>74</v>
      </c>
      <c r="S112" t="s">
        <v>74</v>
      </c>
      <c r="T112" t="s">
        <v>1746</v>
      </c>
      <c r="U112" t="s">
        <v>1747</v>
      </c>
      <c r="V112" t="s">
        <v>1748</v>
      </c>
      <c r="W112" t="s">
        <v>1749</v>
      </c>
      <c r="X112" t="s">
        <v>1750</v>
      </c>
      <c r="Y112" t="s">
        <v>1751</v>
      </c>
      <c r="Z112" t="s">
        <v>1752</v>
      </c>
      <c r="AA112" t="s">
        <v>1753</v>
      </c>
      <c r="AB112" t="s">
        <v>74</v>
      </c>
      <c r="AC112" t="s">
        <v>74</v>
      </c>
      <c r="AD112" t="s">
        <v>74</v>
      </c>
      <c r="AE112" t="s">
        <v>74</v>
      </c>
      <c r="AF112" t="s">
        <v>74</v>
      </c>
      <c r="AG112">
        <v>28</v>
      </c>
      <c r="AH112">
        <v>5</v>
      </c>
      <c r="AI112">
        <v>5</v>
      </c>
      <c r="AJ112">
        <v>0</v>
      </c>
      <c r="AK112">
        <v>2</v>
      </c>
      <c r="AL112" t="s">
        <v>1754</v>
      </c>
      <c r="AM112" t="s">
        <v>1755</v>
      </c>
      <c r="AN112" t="s">
        <v>1756</v>
      </c>
      <c r="AO112" t="s">
        <v>1757</v>
      </c>
      <c r="AP112" t="s">
        <v>1758</v>
      </c>
      <c r="AQ112" t="s">
        <v>74</v>
      </c>
      <c r="AR112" t="s">
        <v>1759</v>
      </c>
      <c r="AS112" t="s">
        <v>1760</v>
      </c>
      <c r="AT112" t="s">
        <v>1499</v>
      </c>
      <c r="AU112">
        <v>2001</v>
      </c>
      <c r="AV112">
        <v>24</v>
      </c>
      <c r="AW112">
        <v>6</v>
      </c>
      <c r="AX112" t="s">
        <v>74</v>
      </c>
      <c r="AY112" t="s">
        <v>74</v>
      </c>
      <c r="AZ112" t="s">
        <v>74</v>
      </c>
      <c r="BA112" t="s">
        <v>74</v>
      </c>
      <c r="BB112">
        <v>756</v>
      </c>
      <c r="BC112">
        <v>760</v>
      </c>
      <c r="BD112" t="s">
        <v>74</v>
      </c>
      <c r="BE112" t="s">
        <v>74</v>
      </c>
      <c r="BF112" t="s">
        <v>74</v>
      </c>
      <c r="BG112" t="s">
        <v>74</v>
      </c>
      <c r="BH112" t="s">
        <v>74</v>
      </c>
      <c r="BI112">
        <v>5</v>
      </c>
      <c r="BJ112" t="s">
        <v>1761</v>
      </c>
      <c r="BK112" t="s">
        <v>88</v>
      </c>
      <c r="BL112" t="s">
        <v>517</v>
      </c>
      <c r="BM112" t="s">
        <v>1762</v>
      </c>
      <c r="BN112" t="s">
        <v>74</v>
      </c>
      <c r="BO112" t="s">
        <v>74</v>
      </c>
      <c r="BP112" t="s">
        <v>74</v>
      </c>
      <c r="BQ112" t="s">
        <v>74</v>
      </c>
      <c r="BR112" t="s">
        <v>91</v>
      </c>
      <c r="BS112" t="s">
        <v>1763</v>
      </c>
      <c r="BT112" t="str">
        <f>HYPERLINK("https%3A%2F%2Fwww.webofscience.com%2Fwos%2Fwoscc%2Ffull-record%2FWOS:000172039800009","View Full Record in Web of Science")</f>
        <v>View Full Record in Web of Science</v>
      </c>
    </row>
    <row r="113" spans="1:72" x14ac:dyDescent="0.15">
      <c r="A113" t="s">
        <v>72</v>
      </c>
      <c r="B113" t="s">
        <v>1764</v>
      </c>
      <c r="C113" t="s">
        <v>74</v>
      </c>
      <c r="D113" t="s">
        <v>74</v>
      </c>
      <c r="E113" t="s">
        <v>74</v>
      </c>
      <c r="F113" t="s">
        <v>1764</v>
      </c>
      <c r="G113" t="s">
        <v>74</v>
      </c>
      <c r="H113" t="s">
        <v>74</v>
      </c>
      <c r="I113" t="s">
        <v>1765</v>
      </c>
      <c r="J113" t="s">
        <v>1766</v>
      </c>
      <c r="K113" t="s">
        <v>74</v>
      </c>
      <c r="L113" t="s">
        <v>74</v>
      </c>
      <c r="M113" t="s">
        <v>77</v>
      </c>
      <c r="N113" t="s">
        <v>120</v>
      </c>
      <c r="O113" t="s">
        <v>74</v>
      </c>
      <c r="P113" t="s">
        <v>74</v>
      </c>
      <c r="Q113" t="s">
        <v>74</v>
      </c>
      <c r="R113" t="s">
        <v>74</v>
      </c>
      <c r="S113" t="s">
        <v>74</v>
      </c>
      <c r="T113" t="s">
        <v>1767</v>
      </c>
      <c r="U113" t="s">
        <v>1768</v>
      </c>
      <c r="V113" t="s">
        <v>1769</v>
      </c>
      <c r="W113" t="s">
        <v>1770</v>
      </c>
      <c r="X113" t="s">
        <v>1771</v>
      </c>
      <c r="Y113" t="s">
        <v>1772</v>
      </c>
      <c r="Z113" t="s">
        <v>1773</v>
      </c>
      <c r="AA113" t="s">
        <v>1774</v>
      </c>
      <c r="AB113" t="s">
        <v>1775</v>
      </c>
      <c r="AC113" t="s">
        <v>74</v>
      </c>
      <c r="AD113" t="s">
        <v>74</v>
      </c>
      <c r="AE113" t="s">
        <v>74</v>
      </c>
      <c r="AF113" t="s">
        <v>74</v>
      </c>
      <c r="AG113">
        <v>88</v>
      </c>
      <c r="AH113">
        <v>13</v>
      </c>
      <c r="AI113">
        <v>13</v>
      </c>
      <c r="AJ113">
        <v>0</v>
      </c>
      <c r="AK113">
        <v>3</v>
      </c>
      <c r="AL113" t="s">
        <v>488</v>
      </c>
      <c r="AM113" t="s">
        <v>350</v>
      </c>
      <c r="AN113" t="s">
        <v>489</v>
      </c>
      <c r="AO113" t="s">
        <v>1776</v>
      </c>
      <c r="AP113" t="s">
        <v>1777</v>
      </c>
      <c r="AQ113" t="s">
        <v>74</v>
      </c>
      <c r="AR113" t="s">
        <v>1778</v>
      </c>
      <c r="AS113" t="s">
        <v>1779</v>
      </c>
      <c r="AT113" t="s">
        <v>1095</v>
      </c>
      <c r="AU113">
        <v>2001</v>
      </c>
      <c r="AV113">
        <v>144</v>
      </c>
      <c r="AW113" t="s">
        <v>451</v>
      </c>
      <c r="AX113" t="s">
        <v>74</v>
      </c>
      <c r="AY113" t="s">
        <v>74</v>
      </c>
      <c r="AZ113" t="s">
        <v>74</v>
      </c>
      <c r="BA113" t="s">
        <v>74</v>
      </c>
      <c r="BB113">
        <v>263</v>
      </c>
      <c r="BC113">
        <v>290</v>
      </c>
      <c r="BD113" t="s">
        <v>74</v>
      </c>
      <c r="BE113" t="s">
        <v>1780</v>
      </c>
      <c r="BF113" t="str">
        <f>HYPERLINK("http://dx.doi.org/10.1016/S0037-0738(01)00064-1","http://dx.doi.org/10.1016/S0037-0738(01)00064-1")</f>
        <v>http://dx.doi.org/10.1016/S0037-0738(01)00064-1</v>
      </c>
      <c r="BG113" t="s">
        <v>74</v>
      </c>
      <c r="BH113" t="s">
        <v>74</v>
      </c>
      <c r="BI113">
        <v>28</v>
      </c>
      <c r="BJ113" t="s">
        <v>113</v>
      </c>
      <c r="BK113" t="s">
        <v>88</v>
      </c>
      <c r="BL113" t="s">
        <v>113</v>
      </c>
      <c r="BM113" t="s">
        <v>1781</v>
      </c>
      <c r="BN113" t="s">
        <v>74</v>
      </c>
      <c r="BO113" t="s">
        <v>74</v>
      </c>
      <c r="BP113" t="s">
        <v>74</v>
      </c>
      <c r="BQ113" t="s">
        <v>74</v>
      </c>
      <c r="BR113" t="s">
        <v>91</v>
      </c>
      <c r="BS113" t="s">
        <v>1782</v>
      </c>
      <c r="BT113" t="str">
        <f>HYPERLINK("https%3A%2F%2Fwww.webofscience.com%2Fwos%2Fwoscc%2Ffull-record%2FWOS:000172399800004","View Full Record in Web of Science")</f>
        <v>View Full Record in Web of Science</v>
      </c>
    </row>
    <row r="114" spans="1:72" x14ac:dyDescent="0.15">
      <c r="A114" t="s">
        <v>72</v>
      </c>
      <c r="B114" t="s">
        <v>1783</v>
      </c>
      <c r="C114" t="s">
        <v>74</v>
      </c>
      <c r="D114" t="s">
        <v>74</v>
      </c>
      <c r="E114" t="s">
        <v>74</v>
      </c>
      <c r="F114" t="s">
        <v>1783</v>
      </c>
      <c r="G114" t="s">
        <v>74</v>
      </c>
      <c r="H114" t="s">
        <v>74</v>
      </c>
      <c r="I114" t="s">
        <v>1784</v>
      </c>
      <c r="J114" t="s">
        <v>1785</v>
      </c>
      <c r="K114" t="s">
        <v>74</v>
      </c>
      <c r="L114" t="s">
        <v>74</v>
      </c>
      <c r="M114" t="s">
        <v>77</v>
      </c>
      <c r="N114" t="s">
        <v>120</v>
      </c>
      <c r="O114" t="s">
        <v>74</v>
      </c>
      <c r="P114" t="s">
        <v>74</v>
      </c>
      <c r="Q114" t="s">
        <v>74</v>
      </c>
      <c r="R114" t="s">
        <v>74</v>
      </c>
      <c r="S114" t="s">
        <v>74</v>
      </c>
      <c r="T114" t="s">
        <v>74</v>
      </c>
      <c r="U114" t="s">
        <v>74</v>
      </c>
      <c r="V114" t="s">
        <v>1786</v>
      </c>
      <c r="W114" t="s">
        <v>1787</v>
      </c>
      <c r="X114" t="s">
        <v>1788</v>
      </c>
      <c r="Y114" t="s">
        <v>1789</v>
      </c>
      <c r="Z114" t="s">
        <v>74</v>
      </c>
      <c r="AA114" t="s">
        <v>74</v>
      </c>
      <c r="AB114" t="s">
        <v>74</v>
      </c>
      <c r="AC114" t="s">
        <v>74</v>
      </c>
      <c r="AD114" t="s">
        <v>74</v>
      </c>
      <c r="AE114" t="s">
        <v>74</v>
      </c>
      <c r="AF114" t="s">
        <v>74</v>
      </c>
      <c r="AG114">
        <v>1</v>
      </c>
      <c r="AH114">
        <v>3</v>
      </c>
      <c r="AI114">
        <v>3</v>
      </c>
      <c r="AJ114">
        <v>0</v>
      </c>
      <c r="AK114">
        <v>1</v>
      </c>
      <c r="AL114" t="s">
        <v>1790</v>
      </c>
      <c r="AM114" t="s">
        <v>80</v>
      </c>
      <c r="AN114" t="s">
        <v>1791</v>
      </c>
      <c r="AO114" t="s">
        <v>1792</v>
      </c>
      <c r="AP114" t="s">
        <v>74</v>
      </c>
      <c r="AQ114" t="s">
        <v>74</v>
      </c>
      <c r="AR114" t="s">
        <v>1785</v>
      </c>
      <c r="AS114" t="s">
        <v>1793</v>
      </c>
      <c r="AT114" t="s">
        <v>737</v>
      </c>
      <c r="AU114">
        <v>2001</v>
      </c>
      <c r="AV114">
        <v>17</v>
      </c>
      <c r="AW114">
        <v>4</v>
      </c>
      <c r="AX114" t="s">
        <v>74</v>
      </c>
      <c r="AY114" t="s">
        <v>74</v>
      </c>
      <c r="AZ114" t="s">
        <v>74</v>
      </c>
      <c r="BA114" t="s">
        <v>74</v>
      </c>
      <c r="BB114">
        <v>265</v>
      </c>
      <c r="BC114">
        <v>274</v>
      </c>
      <c r="BD114" t="s">
        <v>74</v>
      </c>
      <c r="BE114" t="s">
        <v>1794</v>
      </c>
      <c r="BF114" t="str">
        <f>HYPERLINK("http://dx.doi.org/10.1016/S0265-9646(01)00041-8","http://dx.doi.org/10.1016/S0265-9646(01)00041-8")</f>
        <v>http://dx.doi.org/10.1016/S0265-9646(01)00041-8</v>
      </c>
      <c r="BG114" t="s">
        <v>74</v>
      </c>
      <c r="BH114" t="s">
        <v>74</v>
      </c>
      <c r="BI114">
        <v>10</v>
      </c>
      <c r="BJ114" t="s">
        <v>1795</v>
      </c>
      <c r="BK114" t="s">
        <v>1796</v>
      </c>
      <c r="BL114" t="s">
        <v>1797</v>
      </c>
      <c r="BM114" t="s">
        <v>1798</v>
      </c>
      <c r="BN114" t="s">
        <v>74</v>
      </c>
      <c r="BO114" t="s">
        <v>761</v>
      </c>
      <c r="BP114" t="s">
        <v>74</v>
      </c>
      <c r="BQ114" t="s">
        <v>74</v>
      </c>
      <c r="BR114" t="s">
        <v>91</v>
      </c>
      <c r="BS114" t="s">
        <v>1799</v>
      </c>
      <c r="BT114" t="str">
        <f>HYPERLINK("https%3A%2F%2Fwww.webofscience.com%2Fwos%2Fwoscc%2Ffull-record%2FWOS:000172967100006","View Full Record in Web of Science")</f>
        <v>View Full Record in Web of Science</v>
      </c>
    </row>
    <row r="115" spans="1:72" x14ac:dyDescent="0.15">
      <c r="A115" t="s">
        <v>72</v>
      </c>
      <c r="B115" t="s">
        <v>1800</v>
      </c>
      <c r="C115" t="s">
        <v>74</v>
      </c>
      <c r="D115" t="s">
        <v>74</v>
      </c>
      <c r="E115" t="s">
        <v>74</v>
      </c>
      <c r="F115" t="s">
        <v>1800</v>
      </c>
      <c r="G115" t="s">
        <v>74</v>
      </c>
      <c r="H115" t="s">
        <v>74</v>
      </c>
      <c r="I115" t="s">
        <v>1801</v>
      </c>
      <c r="J115" t="s">
        <v>1802</v>
      </c>
      <c r="K115" t="s">
        <v>74</v>
      </c>
      <c r="L115" t="s">
        <v>74</v>
      </c>
      <c r="M115" t="s">
        <v>77</v>
      </c>
      <c r="N115" t="s">
        <v>120</v>
      </c>
      <c r="O115" t="s">
        <v>74</v>
      </c>
      <c r="P115" t="s">
        <v>74</v>
      </c>
      <c r="Q115" t="s">
        <v>74</v>
      </c>
      <c r="R115" t="s">
        <v>74</v>
      </c>
      <c r="S115" t="s">
        <v>74</v>
      </c>
      <c r="T115" t="s">
        <v>1803</v>
      </c>
      <c r="U115" t="s">
        <v>1804</v>
      </c>
      <c r="V115" t="s">
        <v>1805</v>
      </c>
      <c r="W115" t="s">
        <v>1806</v>
      </c>
      <c r="X115" t="s">
        <v>1807</v>
      </c>
      <c r="Y115" t="s">
        <v>1808</v>
      </c>
      <c r="Z115" t="s">
        <v>74</v>
      </c>
      <c r="AA115" t="s">
        <v>74</v>
      </c>
      <c r="AB115" t="s">
        <v>74</v>
      </c>
      <c r="AC115" t="s">
        <v>74</v>
      </c>
      <c r="AD115" t="s">
        <v>74</v>
      </c>
      <c r="AE115" t="s">
        <v>74</v>
      </c>
      <c r="AF115" t="s">
        <v>74</v>
      </c>
      <c r="AG115">
        <v>24</v>
      </c>
      <c r="AH115">
        <v>17</v>
      </c>
      <c r="AI115">
        <v>19</v>
      </c>
      <c r="AJ115">
        <v>0</v>
      </c>
      <c r="AK115">
        <v>10</v>
      </c>
      <c r="AL115" t="s">
        <v>488</v>
      </c>
      <c r="AM115" t="s">
        <v>350</v>
      </c>
      <c r="AN115" t="s">
        <v>489</v>
      </c>
      <c r="AO115" t="s">
        <v>1809</v>
      </c>
      <c r="AP115" t="s">
        <v>74</v>
      </c>
      <c r="AQ115" t="s">
        <v>74</v>
      </c>
      <c r="AR115" t="s">
        <v>1802</v>
      </c>
      <c r="AS115" t="s">
        <v>1810</v>
      </c>
      <c r="AT115" t="s">
        <v>1811</v>
      </c>
      <c r="AU115">
        <v>2001</v>
      </c>
      <c r="AV115">
        <v>55</v>
      </c>
      <c r="AW115">
        <v>4</v>
      </c>
      <c r="AX115" t="s">
        <v>74</v>
      </c>
      <c r="AY115" t="s">
        <v>74</v>
      </c>
      <c r="AZ115" t="s">
        <v>74</v>
      </c>
      <c r="BA115" t="s">
        <v>74</v>
      </c>
      <c r="BB115">
        <v>765</v>
      </c>
      <c r="BC115">
        <v>772</v>
      </c>
      <c r="BD115" t="s">
        <v>74</v>
      </c>
      <c r="BE115" t="s">
        <v>1812</v>
      </c>
      <c r="BF115" t="str">
        <f>HYPERLINK("http://dx.doi.org/10.1016/S0039-9140(01)00509-4","http://dx.doi.org/10.1016/S0039-9140(01)00509-4")</f>
        <v>http://dx.doi.org/10.1016/S0039-9140(01)00509-4</v>
      </c>
      <c r="BG115" t="s">
        <v>74</v>
      </c>
      <c r="BH115" t="s">
        <v>74</v>
      </c>
      <c r="BI115">
        <v>8</v>
      </c>
      <c r="BJ115" t="s">
        <v>1813</v>
      </c>
      <c r="BK115" t="s">
        <v>88</v>
      </c>
      <c r="BL115" t="s">
        <v>517</v>
      </c>
      <c r="BM115" t="s">
        <v>1814</v>
      </c>
      <c r="BN115">
        <v>18968423</v>
      </c>
      <c r="BO115" t="s">
        <v>74</v>
      </c>
      <c r="BP115" t="s">
        <v>74</v>
      </c>
      <c r="BQ115" t="s">
        <v>74</v>
      </c>
      <c r="BR115" t="s">
        <v>91</v>
      </c>
      <c r="BS115" t="s">
        <v>1815</v>
      </c>
      <c r="BT115" t="str">
        <f>HYPERLINK("https%3A%2F%2Fwww.webofscience.com%2Fwos%2Fwoscc%2Ffull-record%2FWOS:000173288900012","View Full Record in Web of Science")</f>
        <v>View Full Record in Web of Science</v>
      </c>
    </row>
    <row r="116" spans="1:72" x14ac:dyDescent="0.15">
      <c r="A116" t="s">
        <v>72</v>
      </c>
      <c r="B116" t="s">
        <v>1816</v>
      </c>
      <c r="C116" t="s">
        <v>74</v>
      </c>
      <c r="D116" t="s">
        <v>74</v>
      </c>
      <c r="E116" t="s">
        <v>74</v>
      </c>
      <c r="F116" t="s">
        <v>1816</v>
      </c>
      <c r="G116" t="s">
        <v>74</v>
      </c>
      <c r="H116" t="s">
        <v>74</v>
      </c>
      <c r="I116" t="s">
        <v>1817</v>
      </c>
      <c r="J116" t="s">
        <v>1818</v>
      </c>
      <c r="K116" t="s">
        <v>74</v>
      </c>
      <c r="L116" t="s">
        <v>74</v>
      </c>
      <c r="M116" t="s">
        <v>77</v>
      </c>
      <c r="N116" t="s">
        <v>120</v>
      </c>
      <c r="O116" t="s">
        <v>74</v>
      </c>
      <c r="P116" t="s">
        <v>74</v>
      </c>
      <c r="Q116" t="s">
        <v>74</v>
      </c>
      <c r="R116" t="s">
        <v>74</v>
      </c>
      <c r="S116" t="s">
        <v>74</v>
      </c>
      <c r="T116" t="s">
        <v>1819</v>
      </c>
      <c r="U116" t="s">
        <v>1820</v>
      </c>
      <c r="V116" t="s">
        <v>1821</v>
      </c>
      <c r="W116" t="s">
        <v>1822</v>
      </c>
      <c r="X116" t="s">
        <v>1823</v>
      </c>
      <c r="Y116" t="s">
        <v>1824</v>
      </c>
      <c r="Z116" t="s">
        <v>1825</v>
      </c>
      <c r="AA116" t="s">
        <v>1826</v>
      </c>
      <c r="AB116" t="s">
        <v>1827</v>
      </c>
      <c r="AC116" t="s">
        <v>74</v>
      </c>
      <c r="AD116" t="s">
        <v>74</v>
      </c>
      <c r="AE116" t="s">
        <v>74</v>
      </c>
      <c r="AF116" t="s">
        <v>74</v>
      </c>
      <c r="AG116">
        <v>17</v>
      </c>
      <c r="AH116">
        <v>27</v>
      </c>
      <c r="AI116">
        <v>28</v>
      </c>
      <c r="AJ116">
        <v>0</v>
      </c>
      <c r="AK116">
        <v>6</v>
      </c>
      <c r="AL116" t="s">
        <v>1828</v>
      </c>
      <c r="AM116" t="s">
        <v>1829</v>
      </c>
      <c r="AN116" t="s">
        <v>1830</v>
      </c>
      <c r="AO116" t="s">
        <v>1831</v>
      </c>
      <c r="AP116" t="s">
        <v>74</v>
      </c>
      <c r="AQ116" t="s">
        <v>74</v>
      </c>
      <c r="AR116" t="s">
        <v>1832</v>
      </c>
      <c r="AS116" t="s">
        <v>1833</v>
      </c>
      <c r="AT116" t="s">
        <v>1834</v>
      </c>
      <c r="AU116">
        <v>2001</v>
      </c>
      <c r="AV116">
        <v>333</v>
      </c>
      <c r="AW116">
        <v>8</v>
      </c>
      <c r="AX116" t="s">
        <v>74</v>
      </c>
      <c r="AY116" t="s">
        <v>74</v>
      </c>
      <c r="AZ116" t="s">
        <v>74</v>
      </c>
      <c r="BA116" t="s">
        <v>74</v>
      </c>
      <c r="BB116">
        <v>419</v>
      </c>
      <c r="BC116">
        <v>425</v>
      </c>
      <c r="BD116" t="s">
        <v>74</v>
      </c>
      <c r="BE116" t="s">
        <v>1835</v>
      </c>
      <c r="BF116" t="str">
        <f>HYPERLINK("http://dx.doi.org/10.1016/S1251-8050(01)01667-6","http://dx.doi.org/10.1016/S1251-8050(01)01667-6")</f>
        <v>http://dx.doi.org/10.1016/S1251-8050(01)01667-6</v>
      </c>
      <c r="BG116" t="s">
        <v>74</v>
      </c>
      <c r="BH116" t="s">
        <v>74</v>
      </c>
      <c r="BI116">
        <v>7</v>
      </c>
      <c r="BJ116" t="s">
        <v>300</v>
      </c>
      <c r="BK116" t="s">
        <v>88</v>
      </c>
      <c r="BL116" t="s">
        <v>113</v>
      </c>
      <c r="BM116" t="s">
        <v>1836</v>
      </c>
      <c r="BN116" t="s">
        <v>74</v>
      </c>
      <c r="BO116" t="s">
        <v>74</v>
      </c>
      <c r="BP116" t="s">
        <v>74</v>
      </c>
      <c r="BQ116" t="s">
        <v>74</v>
      </c>
      <c r="BR116" t="s">
        <v>91</v>
      </c>
      <c r="BS116" t="s">
        <v>1837</v>
      </c>
      <c r="BT116" t="str">
        <f>HYPERLINK("https%3A%2F%2Fwww.webofscience.com%2Fwos%2Fwoscc%2Ffull-record%2FWOS:000172575400001","View Full Record in Web of Science")</f>
        <v>View Full Record in Web of Science</v>
      </c>
    </row>
    <row r="117" spans="1:72" x14ac:dyDescent="0.15">
      <c r="A117" t="s">
        <v>72</v>
      </c>
      <c r="B117" t="s">
        <v>1838</v>
      </c>
      <c r="C117" t="s">
        <v>74</v>
      </c>
      <c r="D117" t="s">
        <v>74</v>
      </c>
      <c r="E117" t="s">
        <v>74</v>
      </c>
      <c r="F117" t="s">
        <v>1838</v>
      </c>
      <c r="G117" t="s">
        <v>74</v>
      </c>
      <c r="H117" t="s">
        <v>74</v>
      </c>
      <c r="I117" t="s">
        <v>1839</v>
      </c>
      <c r="J117" t="s">
        <v>478</v>
      </c>
      <c r="K117" t="s">
        <v>74</v>
      </c>
      <c r="L117" t="s">
        <v>74</v>
      </c>
      <c r="M117" t="s">
        <v>77</v>
      </c>
      <c r="N117" t="s">
        <v>120</v>
      </c>
      <c r="O117" t="s">
        <v>74</v>
      </c>
      <c r="P117" t="s">
        <v>74</v>
      </c>
      <c r="Q117" t="s">
        <v>74</v>
      </c>
      <c r="R117" t="s">
        <v>74</v>
      </c>
      <c r="S117" t="s">
        <v>74</v>
      </c>
      <c r="T117" t="s">
        <v>1840</v>
      </c>
      <c r="U117" t="s">
        <v>1841</v>
      </c>
      <c r="V117" t="s">
        <v>1842</v>
      </c>
      <c r="W117" t="s">
        <v>1843</v>
      </c>
      <c r="X117" t="s">
        <v>1844</v>
      </c>
      <c r="Y117" t="s">
        <v>1845</v>
      </c>
      <c r="Z117" t="s">
        <v>74</v>
      </c>
      <c r="AA117" t="s">
        <v>1846</v>
      </c>
      <c r="AB117" t="s">
        <v>1847</v>
      </c>
      <c r="AC117" t="s">
        <v>74</v>
      </c>
      <c r="AD117" t="s">
        <v>74</v>
      </c>
      <c r="AE117" t="s">
        <v>74</v>
      </c>
      <c r="AF117" t="s">
        <v>74</v>
      </c>
      <c r="AG117">
        <v>41</v>
      </c>
      <c r="AH117">
        <v>60</v>
      </c>
      <c r="AI117">
        <v>64</v>
      </c>
      <c r="AJ117">
        <v>0</v>
      </c>
      <c r="AK117">
        <v>8</v>
      </c>
      <c r="AL117" t="s">
        <v>488</v>
      </c>
      <c r="AM117" t="s">
        <v>350</v>
      </c>
      <c r="AN117" t="s">
        <v>489</v>
      </c>
      <c r="AO117" t="s">
        <v>490</v>
      </c>
      <c r="AP117" t="s">
        <v>74</v>
      </c>
      <c r="AQ117" t="s">
        <v>74</v>
      </c>
      <c r="AR117" t="s">
        <v>492</v>
      </c>
      <c r="AS117" t="s">
        <v>493</v>
      </c>
      <c r="AT117" t="s">
        <v>1834</v>
      </c>
      <c r="AU117">
        <v>2001</v>
      </c>
      <c r="AV117">
        <v>192</v>
      </c>
      <c r="AW117">
        <v>3</v>
      </c>
      <c r="AX117" t="s">
        <v>74</v>
      </c>
      <c r="AY117" t="s">
        <v>74</v>
      </c>
      <c r="AZ117" t="s">
        <v>74</v>
      </c>
      <c r="BA117" t="s">
        <v>74</v>
      </c>
      <c r="BB117">
        <v>407</v>
      </c>
      <c r="BC117">
        <v>421</v>
      </c>
      <c r="BD117" t="s">
        <v>74</v>
      </c>
      <c r="BE117" t="s">
        <v>1848</v>
      </c>
      <c r="BF117" t="str">
        <f>HYPERLINK("http://dx.doi.org/10.1016/S0012-821X(01)00459-9","http://dx.doi.org/10.1016/S0012-821X(01)00459-9")</f>
        <v>http://dx.doi.org/10.1016/S0012-821X(01)00459-9</v>
      </c>
      <c r="BG117" t="s">
        <v>74</v>
      </c>
      <c r="BH117" t="s">
        <v>74</v>
      </c>
      <c r="BI117">
        <v>15</v>
      </c>
      <c r="BJ117" t="s">
        <v>388</v>
      </c>
      <c r="BK117" t="s">
        <v>88</v>
      </c>
      <c r="BL117" t="s">
        <v>388</v>
      </c>
      <c r="BM117" t="s">
        <v>1849</v>
      </c>
      <c r="BN117" t="s">
        <v>74</v>
      </c>
      <c r="BO117" t="s">
        <v>74</v>
      </c>
      <c r="BP117" t="s">
        <v>74</v>
      </c>
      <c r="BQ117" t="s">
        <v>74</v>
      </c>
      <c r="BR117" t="s">
        <v>91</v>
      </c>
      <c r="BS117" t="s">
        <v>1850</v>
      </c>
      <c r="BT117" t="str">
        <f>HYPERLINK("https%3A%2F%2Fwww.webofscience.com%2Fwos%2Fwoscc%2Ffull-record%2FWOS:000171914500012","View Full Record in Web of Science")</f>
        <v>View Full Record in Web of Science</v>
      </c>
    </row>
    <row r="118" spans="1:72" x14ac:dyDescent="0.15">
      <c r="A118" t="s">
        <v>72</v>
      </c>
      <c r="B118" t="s">
        <v>1851</v>
      </c>
      <c r="C118" t="s">
        <v>74</v>
      </c>
      <c r="D118" t="s">
        <v>74</v>
      </c>
      <c r="E118" t="s">
        <v>74</v>
      </c>
      <c r="F118" t="s">
        <v>1851</v>
      </c>
      <c r="G118" t="s">
        <v>74</v>
      </c>
      <c r="H118" t="s">
        <v>74</v>
      </c>
      <c r="I118" t="s">
        <v>1852</v>
      </c>
      <c r="J118" t="s">
        <v>522</v>
      </c>
      <c r="K118" t="s">
        <v>74</v>
      </c>
      <c r="L118" t="s">
        <v>74</v>
      </c>
      <c r="M118" t="s">
        <v>77</v>
      </c>
      <c r="N118" t="s">
        <v>120</v>
      </c>
      <c r="O118" t="s">
        <v>74</v>
      </c>
      <c r="P118" t="s">
        <v>74</v>
      </c>
      <c r="Q118" t="s">
        <v>74</v>
      </c>
      <c r="R118" t="s">
        <v>74</v>
      </c>
      <c r="S118" t="s">
        <v>74</v>
      </c>
      <c r="T118" t="s">
        <v>74</v>
      </c>
      <c r="U118" t="s">
        <v>1853</v>
      </c>
      <c r="V118" t="s">
        <v>1854</v>
      </c>
      <c r="W118" t="s">
        <v>1855</v>
      </c>
      <c r="X118" t="s">
        <v>1856</v>
      </c>
      <c r="Y118" t="s">
        <v>1857</v>
      </c>
      <c r="Z118" t="s">
        <v>1858</v>
      </c>
      <c r="AA118" t="s">
        <v>1859</v>
      </c>
      <c r="AB118" t="s">
        <v>74</v>
      </c>
      <c r="AC118" t="s">
        <v>74</v>
      </c>
      <c r="AD118" t="s">
        <v>74</v>
      </c>
      <c r="AE118" t="s">
        <v>74</v>
      </c>
      <c r="AF118" t="s">
        <v>74</v>
      </c>
      <c r="AG118">
        <v>19</v>
      </c>
      <c r="AH118">
        <v>28</v>
      </c>
      <c r="AI118">
        <v>29</v>
      </c>
      <c r="AJ118">
        <v>0</v>
      </c>
      <c r="AK118">
        <v>1</v>
      </c>
      <c r="AL118" t="s">
        <v>149</v>
      </c>
      <c r="AM118" t="s">
        <v>150</v>
      </c>
      <c r="AN118" t="s">
        <v>151</v>
      </c>
      <c r="AO118" t="s">
        <v>531</v>
      </c>
      <c r="AP118" t="s">
        <v>74</v>
      </c>
      <c r="AQ118" t="s">
        <v>74</v>
      </c>
      <c r="AR118" t="s">
        <v>533</v>
      </c>
      <c r="AS118" t="s">
        <v>534</v>
      </c>
      <c r="AT118" t="s">
        <v>1860</v>
      </c>
      <c r="AU118">
        <v>2001</v>
      </c>
      <c r="AV118">
        <v>106</v>
      </c>
      <c r="AW118" t="s">
        <v>1861</v>
      </c>
      <c r="AX118" t="s">
        <v>74</v>
      </c>
      <c r="AY118" t="s">
        <v>74</v>
      </c>
      <c r="AZ118" t="s">
        <v>74</v>
      </c>
      <c r="BA118" t="s">
        <v>74</v>
      </c>
      <c r="BB118">
        <v>23965</v>
      </c>
      <c r="BC118">
        <v>23975</v>
      </c>
      <c r="BD118" t="s">
        <v>74</v>
      </c>
      <c r="BE118" t="s">
        <v>1862</v>
      </c>
      <c r="BF118" t="str">
        <f>HYPERLINK("http://dx.doi.org/10.1029/2000JD000221","http://dx.doi.org/10.1029/2000JD000221")</f>
        <v>http://dx.doi.org/10.1029/2000JD000221</v>
      </c>
      <c r="BG118" t="s">
        <v>74</v>
      </c>
      <c r="BH118" t="s">
        <v>74</v>
      </c>
      <c r="BI118">
        <v>11</v>
      </c>
      <c r="BJ118" t="s">
        <v>538</v>
      </c>
      <c r="BK118" t="s">
        <v>88</v>
      </c>
      <c r="BL118" t="s">
        <v>538</v>
      </c>
      <c r="BM118" t="s">
        <v>1863</v>
      </c>
      <c r="BN118" t="s">
        <v>74</v>
      </c>
      <c r="BO118" t="s">
        <v>171</v>
      </c>
      <c r="BP118" t="s">
        <v>74</v>
      </c>
      <c r="BQ118" t="s">
        <v>74</v>
      </c>
      <c r="BR118" t="s">
        <v>91</v>
      </c>
      <c r="BS118" t="s">
        <v>1864</v>
      </c>
      <c r="BT118" t="str">
        <f>HYPERLINK("https%3A%2F%2Fwww.webofscience.com%2Fwos%2Fwoscc%2Ffull-record%2FWOS:000171974000002","View Full Record in Web of Science")</f>
        <v>View Full Record in Web of Science</v>
      </c>
    </row>
    <row r="119" spans="1:72" x14ac:dyDescent="0.15">
      <c r="A119" t="s">
        <v>72</v>
      </c>
      <c r="B119" t="s">
        <v>1865</v>
      </c>
      <c r="C119" t="s">
        <v>74</v>
      </c>
      <c r="D119" t="s">
        <v>74</v>
      </c>
      <c r="E119" t="s">
        <v>74</v>
      </c>
      <c r="F119" t="s">
        <v>1865</v>
      </c>
      <c r="G119" t="s">
        <v>74</v>
      </c>
      <c r="H119" t="s">
        <v>74</v>
      </c>
      <c r="I119" t="s">
        <v>1866</v>
      </c>
      <c r="J119" t="s">
        <v>1867</v>
      </c>
      <c r="K119" t="s">
        <v>74</v>
      </c>
      <c r="L119" t="s">
        <v>74</v>
      </c>
      <c r="M119" t="s">
        <v>77</v>
      </c>
      <c r="N119" t="s">
        <v>414</v>
      </c>
      <c r="O119" t="s">
        <v>74</v>
      </c>
      <c r="P119" t="s">
        <v>74</v>
      </c>
      <c r="Q119" t="s">
        <v>74</v>
      </c>
      <c r="R119" t="s">
        <v>74</v>
      </c>
      <c r="S119" t="s">
        <v>74</v>
      </c>
      <c r="T119" t="s">
        <v>74</v>
      </c>
      <c r="U119" t="s">
        <v>74</v>
      </c>
      <c r="V119" t="s">
        <v>74</v>
      </c>
      <c r="W119" t="s">
        <v>1868</v>
      </c>
      <c r="X119" t="s">
        <v>1856</v>
      </c>
      <c r="Y119" t="s">
        <v>1869</v>
      </c>
      <c r="Z119" t="s">
        <v>74</v>
      </c>
      <c r="AA119" t="s">
        <v>1870</v>
      </c>
      <c r="AB119" t="s">
        <v>1871</v>
      </c>
      <c r="AC119" t="s">
        <v>74</v>
      </c>
      <c r="AD119" t="s">
        <v>74</v>
      </c>
      <c r="AE119" t="s">
        <v>74</v>
      </c>
      <c r="AF119" t="s">
        <v>74</v>
      </c>
      <c r="AG119">
        <v>5</v>
      </c>
      <c r="AH119">
        <v>26</v>
      </c>
      <c r="AI119">
        <v>33</v>
      </c>
      <c r="AJ119">
        <v>0</v>
      </c>
      <c r="AK119">
        <v>29</v>
      </c>
      <c r="AL119" t="s">
        <v>1872</v>
      </c>
      <c r="AM119" t="s">
        <v>150</v>
      </c>
      <c r="AN119" t="s">
        <v>1873</v>
      </c>
      <c r="AO119" t="s">
        <v>1874</v>
      </c>
      <c r="AP119" t="s">
        <v>74</v>
      </c>
      <c r="AQ119" t="s">
        <v>74</v>
      </c>
      <c r="AR119" t="s">
        <v>1867</v>
      </c>
      <c r="AS119" t="s">
        <v>1875</v>
      </c>
      <c r="AT119" t="s">
        <v>1876</v>
      </c>
      <c r="AU119">
        <v>2001</v>
      </c>
      <c r="AV119">
        <v>294</v>
      </c>
      <c r="AW119">
        <v>5543</v>
      </c>
      <c r="AX119" t="s">
        <v>74</v>
      </c>
      <c r="AY119" t="s">
        <v>74</v>
      </c>
      <c r="AZ119" t="s">
        <v>74</v>
      </c>
      <c r="BA119" t="s">
        <v>74</v>
      </c>
      <c r="BB119">
        <v>802</v>
      </c>
      <c r="BC119">
        <v>803</v>
      </c>
      <c r="BD119" t="s">
        <v>74</v>
      </c>
      <c r="BE119" t="s">
        <v>1877</v>
      </c>
      <c r="BF119" t="str">
        <f>HYPERLINK("http://dx.doi.org/10.1126/science.1065714","http://dx.doi.org/10.1126/science.1065714")</f>
        <v>http://dx.doi.org/10.1126/science.1065714</v>
      </c>
      <c r="BG119" t="s">
        <v>74</v>
      </c>
      <c r="BH119" t="s">
        <v>74</v>
      </c>
      <c r="BI119">
        <v>2</v>
      </c>
      <c r="BJ119" t="s">
        <v>575</v>
      </c>
      <c r="BK119" t="s">
        <v>88</v>
      </c>
      <c r="BL119" t="s">
        <v>576</v>
      </c>
      <c r="BM119" t="s">
        <v>1878</v>
      </c>
      <c r="BN119">
        <v>11679657</v>
      </c>
      <c r="BO119" t="s">
        <v>74</v>
      </c>
      <c r="BP119" t="s">
        <v>74</v>
      </c>
      <c r="BQ119" t="s">
        <v>74</v>
      </c>
      <c r="BR119" t="s">
        <v>91</v>
      </c>
      <c r="BS119" t="s">
        <v>1879</v>
      </c>
      <c r="BT119" t="str">
        <f>HYPERLINK("https%3A%2F%2Fwww.webofscience.com%2Fwos%2Fwoscc%2Ffull-record%2FWOS:000171851800032","View Full Record in Web of Science")</f>
        <v>View Full Record in Web of Science</v>
      </c>
    </row>
    <row r="120" spans="1:72" x14ac:dyDescent="0.15">
      <c r="A120" t="s">
        <v>72</v>
      </c>
      <c r="B120" t="s">
        <v>1880</v>
      </c>
      <c r="C120" t="s">
        <v>74</v>
      </c>
      <c r="D120" t="s">
        <v>74</v>
      </c>
      <c r="E120" t="s">
        <v>74</v>
      </c>
      <c r="F120" t="s">
        <v>1880</v>
      </c>
      <c r="G120" t="s">
        <v>74</v>
      </c>
      <c r="H120" t="s">
        <v>74</v>
      </c>
      <c r="I120" t="s">
        <v>1881</v>
      </c>
      <c r="J120" t="s">
        <v>695</v>
      </c>
      <c r="K120" t="s">
        <v>74</v>
      </c>
      <c r="L120" t="s">
        <v>74</v>
      </c>
      <c r="M120" t="s">
        <v>77</v>
      </c>
      <c r="N120" t="s">
        <v>120</v>
      </c>
      <c r="O120" t="s">
        <v>74</v>
      </c>
      <c r="P120" t="s">
        <v>74</v>
      </c>
      <c r="Q120" t="s">
        <v>74</v>
      </c>
      <c r="R120" t="s">
        <v>74</v>
      </c>
      <c r="S120" t="s">
        <v>74</v>
      </c>
      <c r="T120" t="s">
        <v>74</v>
      </c>
      <c r="U120" t="s">
        <v>1882</v>
      </c>
      <c r="V120" t="s">
        <v>1883</v>
      </c>
      <c r="W120" t="s">
        <v>1884</v>
      </c>
      <c r="X120" t="s">
        <v>1885</v>
      </c>
      <c r="Y120" t="s">
        <v>1886</v>
      </c>
      <c r="Z120" t="s">
        <v>1887</v>
      </c>
      <c r="AA120" t="s">
        <v>1888</v>
      </c>
      <c r="AB120" t="s">
        <v>1889</v>
      </c>
      <c r="AC120" t="s">
        <v>74</v>
      </c>
      <c r="AD120" t="s">
        <v>74</v>
      </c>
      <c r="AE120" t="s">
        <v>74</v>
      </c>
      <c r="AF120" t="s">
        <v>74</v>
      </c>
      <c r="AG120">
        <v>36</v>
      </c>
      <c r="AH120">
        <v>195</v>
      </c>
      <c r="AI120">
        <v>204</v>
      </c>
      <c r="AJ120">
        <v>1</v>
      </c>
      <c r="AK120">
        <v>44</v>
      </c>
      <c r="AL120" t="s">
        <v>1890</v>
      </c>
      <c r="AM120" t="s">
        <v>683</v>
      </c>
      <c r="AN120" t="s">
        <v>1891</v>
      </c>
      <c r="AO120" t="s">
        <v>702</v>
      </c>
      <c r="AP120" t="s">
        <v>1892</v>
      </c>
      <c r="AQ120" t="s">
        <v>74</v>
      </c>
      <c r="AR120" t="s">
        <v>695</v>
      </c>
      <c r="AS120" t="s">
        <v>703</v>
      </c>
      <c r="AT120" t="s">
        <v>1893</v>
      </c>
      <c r="AU120">
        <v>2001</v>
      </c>
      <c r="AV120">
        <v>413</v>
      </c>
      <c r="AW120">
        <v>6857</v>
      </c>
      <c r="AX120" t="s">
        <v>74</v>
      </c>
      <c r="AY120" t="s">
        <v>74</v>
      </c>
      <c r="AZ120" t="s">
        <v>74</v>
      </c>
      <c r="BA120" t="s">
        <v>74</v>
      </c>
      <c r="BB120">
        <v>719</v>
      </c>
      <c r="BC120">
        <v>723</v>
      </c>
      <c r="BD120" t="s">
        <v>74</v>
      </c>
      <c r="BE120" t="s">
        <v>1894</v>
      </c>
      <c r="BF120" t="str">
        <f>HYPERLINK("http://dx.doi.org/10.1038/35099534","http://dx.doi.org/10.1038/35099534")</f>
        <v>http://dx.doi.org/10.1038/35099534</v>
      </c>
      <c r="BG120" t="s">
        <v>74</v>
      </c>
      <c r="BH120" t="s">
        <v>74</v>
      </c>
      <c r="BI120">
        <v>5</v>
      </c>
      <c r="BJ120" t="s">
        <v>575</v>
      </c>
      <c r="BK120" t="s">
        <v>88</v>
      </c>
      <c r="BL120" t="s">
        <v>576</v>
      </c>
      <c r="BM120" t="s">
        <v>1895</v>
      </c>
      <c r="BN120">
        <v>11607028</v>
      </c>
      <c r="BO120" t="s">
        <v>761</v>
      </c>
      <c r="BP120" t="s">
        <v>74</v>
      </c>
      <c r="BQ120" t="s">
        <v>74</v>
      </c>
      <c r="BR120" t="s">
        <v>91</v>
      </c>
      <c r="BS120" t="s">
        <v>1896</v>
      </c>
      <c r="BT120" t="str">
        <f>HYPERLINK("https%3A%2F%2Fwww.webofscience.com%2Fwos%2Fwoscc%2Ffull-record%2FWOS:000171608000040","View Full Record in Web of Science")</f>
        <v>View Full Record in Web of Science</v>
      </c>
    </row>
    <row r="121" spans="1:72" x14ac:dyDescent="0.15">
      <c r="A121" t="s">
        <v>72</v>
      </c>
      <c r="B121" t="s">
        <v>1897</v>
      </c>
      <c r="C121" t="s">
        <v>74</v>
      </c>
      <c r="D121" t="s">
        <v>74</v>
      </c>
      <c r="E121" t="s">
        <v>74</v>
      </c>
      <c r="F121" t="s">
        <v>1897</v>
      </c>
      <c r="G121" t="s">
        <v>74</v>
      </c>
      <c r="H121" t="s">
        <v>74</v>
      </c>
      <c r="I121" t="s">
        <v>1898</v>
      </c>
      <c r="J121" t="s">
        <v>522</v>
      </c>
      <c r="K121" t="s">
        <v>74</v>
      </c>
      <c r="L121" t="s">
        <v>74</v>
      </c>
      <c r="M121" t="s">
        <v>77</v>
      </c>
      <c r="N121" t="s">
        <v>120</v>
      </c>
      <c r="O121" t="s">
        <v>74</v>
      </c>
      <c r="P121" t="s">
        <v>74</v>
      </c>
      <c r="Q121" t="s">
        <v>74</v>
      </c>
      <c r="R121" t="s">
        <v>74</v>
      </c>
      <c r="S121" t="s">
        <v>74</v>
      </c>
      <c r="T121" t="s">
        <v>74</v>
      </c>
      <c r="U121" t="s">
        <v>1899</v>
      </c>
      <c r="V121" t="s">
        <v>1900</v>
      </c>
      <c r="W121" t="s">
        <v>1901</v>
      </c>
      <c r="X121" t="s">
        <v>1902</v>
      </c>
      <c r="Y121" t="s">
        <v>1903</v>
      </c>
      <c r="Z121" t="s">
        <v>1904</v>
      </c>
      <c r="AA121" t="s">
        <v>1905</v>
      </c>
      <c r="AB121" t="s">
        <v>1906</v>
      </c>
      <c r="AC121" t="s">
        <v>74</v>
      </c>
      <c r="AD121" t="s">
        <v>74</v>
      </c>
      <c r="AE121" t="s">
        <v>74</v>
      </c>
      <c r="AF121" t="s">
        <v>74</v>
      </c>
      <c r="AG121">
        <v>37</v>
      </c>
      <c r="AH121">
        <v>10</v>
      </c>
      <c r="AI121">
        <v>10</v>
      </c>
      <c r="AJ121">
        <v>0</v>
      </c>
      <c r="AK121">
        <v>1</v>
      </c>
      <c r="AL121" t="s">
        <v>149</v>
      </c>
      <c r="AM121" t="s">
        <v>150</v>
      </c>
      <c r="AN121" t="s">
        <v>151</v>
      </c>
      <c r="AO121" t="s">
        <v>531</v>
      </c>
      <c r="AP121" t="s">
        <v>74</v>
      </c>
      <c r="AQ121" t="s">
        <v>74</v>
      </c>
      <c r="AR121" t="s">
        <v>533</v>
      </c>
      <c r="AS121" t="s">
        <v>534</v>
      </c>
      <c r="AT121" t="s">
        <v>1907</v>
      </c>
      <c r="AU121">
        <v>2001</v>
      </c>
      <c r="AV121">
        <v>106</v>
      </c>
      <c r="AW121" t="s">
        <v>1908</v>
      </c>
      <c r="AX121" t="s">
        <v>74</v>
      </c>
      <c r="AY121" t="s">
        <v>74</v>
      </c>
      <c r="AZ121" t="s">
        <v>74</v>
      </c>
      <c r="BA121" t="s">
        <v>74</v>
      </c>
      <c r="BB121">
        <v>22979</v>
      </c>
      <c r="BC121">
        <v>22989</v>
      </c>
      <c r="BD121" t="s">
        <v>74</v>
      </c>
      <c r="BE121" t="s">
        <v>1909</v>
      </c>
      <c r="BF121" t="str">
        <f>HYPERLINK("http://dx.doi.org/10.1029/2000JD000101","http://dx.doi.org/10.1029/2000JD000101")</f>
        <v>http://dx.doi.org/10.1029/2000JD000101</v>
      </c>
      <c r="BG121" t="s">
        <v>74</v>
      </c>
      <c r="BH121" t="s">
        <v>74</v>
      </c>
      <c r="BI121">
        <v>11</v>
      </c>
      <c r="BJ121" t="s">
        <v>538</v>
      </c>
      <c r="BK121" t="s">
        <v>88</v>
      </c>
      <c r="BL121" t="s">
        <v>538</v>
      </c>
      <c r="BM121" t="s">
        <v>1910</v>
      </c>
      <c r="BN121" t="s">
        <v>74</v>
      </c>
      <c r="BO121" t="s">
        <v>171</v>
      </c>
      <c r="BP121" t="s">
        <v>74</v>
      </c>
      <c r="BQ121" t="s">
        <v>74</v>
      </c>
      <c r="BR121" t="s">
        <v>91</v>
      </c>
      <c r="BS121" t="s">
        <v>1911</v>
      </c>
      <c r="BT121" t="str">
        <f>HYPERLINK("https%3A%2F%2Fwww.webofscience.com%2Fwos%2Fwoscc%2Ffull-record%2FWOS:000171538600028","View Full Record in Web of Science")</f>
        <v>View Full Record in Web of Science</v>
      </c>
    </row>
    <row r="122" spans="1:72" x14ac:dyDescent="0.15">
      <c r="A122" t="s">
        <v>72</v>
      </c>
      <c r="B122" t="s">
        <v>1912</v>
      </c>
      <c r="C122" t="s">
        <v>74</v>
      </c>
      <c r="D122" t="s">
        <v>74</v>
      </c>
      <c r="E122" t="s">
        <v>74</v>
      </c>
      <c r="F122" t="s">
        <v>1912</v>
      </c>
      <c r="G122" t="s">
        <v>74</v>
      </c>
      <c r="H122" t="s">
        <v>74</v>
      </c>
      <c r="I122" t="s">
        <v>1913</v>
      </c>
      <c r="J122" t="s">
        <v>522</v>
      </c>
      <c r="K122" t="s">
        <v>74</v>
      </c>
      <c r="L122" t="s">
        <v>74</v>
      </c>
      <c r="M122" t="s">
        <v>77</v>
      </c>
      <c r="N122" t="s">
        <v>120</v>
      </c>
      <c r="O122" t="s">
        <v>74</v>
      </c>
      <c r="P122" t="s">
        <v>74</v>
      </c>
      <c r="Q122" t="s">
        <v>74</v>
      </c>
      <c r="R122" t="s">
        <v>74</v>
      </c>
      <c r="S122" t="s">
        <v>74</v>
      </c>
      <c r="T122" t="s">
        <v>74</v>
      </c>
      <c r="U122" t="s">
        <v>1914</v>
      </c>
      <c r="V122" t="s">
        <v>1915</v>
      </c>
      <c r="W122" t="s">
        <v>1916</v>
      </c>
      <c r="X122" t="s">
        <v>1917</v>
      </c>
      <c r="Y122" t="s">
        <v>1918</v>
      </c>
      <c r="Z122" t="s">
        <v>1919</v>
      </c>
      <c r="AA122" t="s">
        <v>1920</v>
      </c>
      <c r="AB122" t="s">
        <v>1921</v>
      </c>
      <c r="AC122" t="s">
        <v>74</v>
      </c>
      <c r="AD122" t="s">
        <v>74</v>
      </c>
      <c r="AE122" t="s">
        <v>74</v>
      </c>
      <c r="AF122" t="s">
        <v>74</v>
      </c>
      <c r="AG122">
        <v>49</v>
      </c>
      <c r="AH122">
        <v>88</v>
      </c>
      <c r="AI122">
        <v>95</v>
      </c>
      <c r="AJ122">
        <v>0</v>
      </c>
      <c r="AK122">
        <v>1</v>
      </c>
      <c r="AL122" t="s">
        <v>149</v>
      </c>
      <c r="AM122" t="s">
        <v>150</v>
      </c>
      <c r="AN122" t="s">
        <v>151</v>
      </c>
      <c r="AO122" t="s">
        <v>531</v>
      </c>
      <c r="AP122" t="s">
        <v>74</v>
      </c>
      <c r="AQ122" t="s">
        <v>74</v>
      </c>
      <c r="AR122" t="s">
        <v>533</v>
      </c>
      <c r="AS122" t="s">
        <v>534</v>
      </c>
      <c r="AT122" t="s">
        <v>1907</v>
      </c>
      <c r="AU122">
        <v>2001</v>
      </c>
      <c r="AV122">
        <v>106</v>
      </c>
      <c r="AW122" t="s">
        <v>1908</v>
      </c>
      <c r="AX122" t="s">
        <v>74</v>
      </c>
      <c r="AY122" t="s">
        <v>74</v>
      </c>
      <c r="AZ122" t="s">
        <v>74</v>
      </c>
      <c r="BA122" t="s">
        <v>74</v>
      </c>
      <c r="BB122">
        <v>23029</v>
      </c>
      <c r="BC122">
        <v>23042</v>
      </c>
      <c r="BD122" t="s">
        <v>74</v>
      </c>
      <c r="BE122" t="s">
        <v>1922</v>
      </c>
      <c r="BF122" t="str">
        <f>HYPERLINK("http://dx.doi.org/10.1029/2001JD900220","http://dx.doi.org/10.1029/2001JD900220")</f>
        <v>http://dx.doi.org/10.1029/2001JD900220</v>
      </c>
      <c r="BG122" t="s">
        <v>74</v>
      </c>
      <c r="BH122" t="s">
        <v>74</v>
      </c>
      <c r="BI122">
        <v>14</v>
      </c>
      <c r="BJ122" t="s">
        <v>538</v>
      </c>
      <c r="BK122" t="s">
        <v>88</v>
      </c>
      <c r="BL122" t="s">
        <v>538</v>
      </c>
      <c r="BM122" t="s">
        <v>1910</v>
      </c>
      <c r="BN122" t="s">
        <v>74</v>
      </c>
      <c r="BO122" t="s">
        <v>171</v>
      </c>
      <c r="BP122" t="s">
        <v>74</v>
      </c>
      <c r="BQ122" t="s">
        <v>74</v>
      </c>
      <c r="BR122" t="s">
        <v>91</v>
      </c>
      <c r="BS122" t="s">
        <v>1923</v>
      </c>
      <c r="BT122" t="str">
        <f>HYPERLINK("https%3A%2F%2Fwww.webofscience.com%2Fwos%2Fwoscc%2Ffull-record%2FWOS:000171538600031","View Full Record in Web of Science")</f>
        <v>View Full Record in Web of Science</v>
      </c>
    </row>
    <row r="123" spans="1:72" x14ac:dyDescent="0.15">
      <c r="A123" t="s">
        <v>72</v>
      </c>
      <c r="B123" t="s">
        <v>1924</v>
      </c>
      <c r="C123" t="s">
        <v>74</v>
      </c>
      <c r="D123" t="s">
        <v>74</v>
      </c>
      <c r="E123" t="s">
        <v>74</v>
      </c>
      <c r="F123" t="s">
        <v>1924</v>
      </c>
      <c r="G123" t="s">
        <v>74</v>
      </c>
      <c r="H123" t="s">
        <v>74</v>
      </c>
      <c r="I123" t="s">
        <v>1925</v>
      </c>
      <c r="J123" t="s">
        <v>522</v>
      </c>
      <c r="K123" t="s">
        <v>74</v>
      </c>
      <c r="L123" t="s">
        <v>74</v>
      </c>
      <c r="M123" t="s">
        <v>77</v>
      </c>
      <c r="N123" t="s">
        <v>120</v>
      </c>
      <c r="O123" t="s">
        <v>74</v>
      </c>
      <c r="P123" t="s">
        <v>74</v>
      </c>
      <c r="Q123" t="s">
        <v>74</v>
      </c>
      <c r="R123" t="s">
        <v>74</v>
      </c>
      <c r="S123" t="s">
        <v>74</v>
      </c>
      <c r="T123" t="s">
        <v>74</v>
      </c>
      <c r="U123" t="s">
        <v>1926</v>
      </c>
      <c r="V123" t="s">
        <v>1927</v>
      </c>
      <c r="W123" t="s">
        <v>1928</v>
      </c>
      <c r="X123" t="s">
        <v>1929</v>
      </c>
      <c r="Y123" t="s">
        <v>1930</v>
      </c>
      <c r="Z123" t="s">
        <v>1931</v>
      </c>
      <c r="AA123" t="s">
        <v>1932</v>
      </c>
      <c r="AB123" t="s">
        <v>1933</v>
      </c>
      <c r="AC123" t="s">
        <v>74</v>
      </c>
      <c r="AD123" t="s">
        <v>74</v>
      </c>
      <c r="AE123" t="s">
        <v>74</v>
      </c>
      <c r="AF123" t="s">
        <v>74</v>
      </c>
      <c r="AG123">
        <v>50</v>
      </c>
      <c r="AH123">
        <v>35</v>
      </c>
      <c r="AI123">
        <v>36</v>
      </c>
      <c r="AJ123">
        <v>0</v>
      </c>
      <c r="AK123">
        <v>3</v>
      </c>
      <c r="AL123" t="s">
        <v>149</v>
      </c>
      <c r="AM123" t="s">
        <v>150</v>
      </c>
      <c r="AN123" t="s">
        <v>151</v>
      </c>
      <c r="AO123" t="s">
        <v>531</v>
      </c>
      <c r="AP123" t="s">
        <v>74</v>
      </c>
      <c r="AQ123" t="s">
        <v>74</v>
      </c>
      <c r="AR123" t="s">
        <v>533</v>
      </c>
      <c r="AS123" t="s">
        <v>534</v>
      </c>
      <c r="AT123" t="s">
        <v>1907</v>
      </c>
      <c r="AU123">
        <v>2001</v>
      </c>
      <c r="AV123">
        <v>106</v>
      </c>
      <c r="AW123" t="s">
        <v>1908</v>
      </c>
      <c r="AX123" t="s">
        <v>74</v>
      </c>
      <c r="AY123" t="s">
        <v>74</v>
      </c>
      <c r="AZ123" t="s">
        <v>74</v>
      </c>
      <c r="BA123" t="s">
        <v>74</v>
      </c>
      <c r="BB123">
        <v>23115</v>
      </c>
      <c r="BC123">
        <v>23125</v>
      </c>
      <c r="BD123" t="s">
        <v>74</v>
      </c>
      <c r="BE123" t="s">
        <v>1934</v>
      </c>
      <c r="BF123" t="str">
        <f>HYPERLINK("http://dx.doi.org/10.1029/2000JD000314","http://dx.doi.org/10.1029/2000JD000314")</f>
        <v>http://dx.doi.org/10.1029/2000JD000314</v>
      </c>
      <c r="BG123" t="s">
        <v>74</v>
      </c>
      <c r="BH123" t="s">
        <v>74</v>
      </c>
      <c r="BI123">
        <v>11</v>
      </c>
      <c r="BJ123" t="s">
        <v>538</v>
      </c>
      <c r="BK123" t="s">
        <v>88</v>
      </c>
      <c r="BL123" t="s">
        <v>538</v>
      </c>
      <c r="BM123" t="s">
        <v>1910</v>
      </c>
      <c r="BN123" t="s">
        <v>74</v>
      </c>
      <c r="BO123" t="s">
        <v>171</v>
      </c>
      <c r="BP123" t="s">
        <v>74</v>
      </c>
      <c r="BQ123" t="s">
        <v>74</v>
      </c>
      <c r="BR123" t="s">
        <v>91</v>
      </c>
      <c r="BS123" t="s">
        <v>1935</v>
      </c>
      <c r="BT123" t="str">
        <f>HYPERLINK("https%3A%2F%2Fwww.webofscience.com%2Fwos%2Fwoscc%2Ffull-record%2FWOS:000171538600037","View Full Record in Web of Science")</f>
        <v>View Full Record in Web of Science</v>
      </c>
    </row>
    <row r="124" spans="1:72" x14ac:dyDescent="0.15">
      <c r="A124" t="s">
        <v>72</v>
      </c>
      <c r="B124" t="s">
        <v>1936</v>
      </c>
      <c r="C124" t="s">
        <v>74</v>
      </c>
      <c r="D124" t="s">
        <v>74</v>
      </c>
      <c r="E124" t="s">
        <v>74</v>
      </c>
      <c r="F124" t="s">
        <v>1936</v>
      </c>
      <c r="G124" t="s">
        <v>74</v>
      </c>
      <c r="H124" t="s">
        <v>74</v>
      </c>
      <c r="I124" t="s">
        <v>1937</v>
      </c>
      <c r="J124" t="s">
        <v>478</v>
      </c>
      <c r="K124" t="s">
        <v>74</v>
      </c>
      <c r="L124" t="s">
        <v>74</v>
      </c>
      <c r="M124" t="s">
        <v>77</v>
      </c>
      <c r="N124" t="s">
        <v>120</v>
      </c>
      <c r="O124" t="s">
        <v>74</v>
      </c>
      <c r="P124" t="s">
        <v>74</v>
      </c>
      <c r="Q124" t="s">
        <v>74</v>
      </c>
      <c r="R124" t="s">
        <v>74</v>
      </c>
      <c r="S124" t="s">
        <v>74</v>
      </c>
      <c r="T124" t="s">
        <v>1938</v>
      </c>
      <c r="U124" t="s">
        <v>1939</v>
      </c>
      <c r="V124" t="s">
        <v>1940</v>
      </c>
      <c r="W124" t="s">
        <v>1941</v>
      </c>
      <c r="X124" t="s">
        <v>1942</v>
      </c>
      <c r="Y124" t="s">
        <v>1943</v>
      </c>
      <c r="Z124" t="s">
        <v>1944</v>
      </c>
      <c r="AA124" t="s">
        <v>1945</v>
      </c>
      <c r="AB124" t="s">
        <v>74</v>
      </c>
      <c r="AC124" t="s">
        <v>74</v>
      </c>
      <c r="AD124" t="s">
        <v>74</v>
      </c>
      <c r="AE124" t="s">
        <v>74</v>
      </c>
      <c r="AF124" t="s">
        <v>74</v>
      </c>
      <c r="AG124">
        <v>40</v>
      </c>
      <c r="AH124">
        <v>24</v>
      </c>
      <c r="AI124">
        <v>28</v>
      </c>
      <c r="AJ124">
        <v>2</v>
      </c>
      <c r="AK124">
        <v>12</v>
      </c>
      <c r="AL124" t="s">
        <v>488</v>
      </c>
      <c r="AM124" t="s">
        <v>350</v>
      </c>
      <c r="AN124" t="s">
        <v>489</v>
      </c>
      <c r="AO124" t="s">
        <v>490</v>
      </c>
      <c r="AP124" t="s">
        <v>491</v>
      </c>
      <c r="AQ124" t="s">
        <v>74</v>
      </c>
      <c r="AR124" t="s">
        <v>492</v>
      </c>
      <c r="AS124" t="s">
        <v>493</v>
      </c>
      <c r="AT124" t="s">
        <v>1946</v>
      </c>
      <c r="AU124">
        <v>2001</v>
      </c>
      <c r="AV124">
        <v>192</v>
      </c>
      <c r="AW124">
        <v>2</v>
      </c>
      <c r="AX124" t="s">
        <v>74</v>
      </c>
      <c r="AY124" t="s">
        <v>74</v>
      </c>
      <c r="AZ124" t="s">
        <v>74</v>
      </c>
      <c r="BA124" t="s">
        <v>74</v>
      </c>
      <c r="BB124">
        <v>125</v>
      </c>
      <c r="BC124">
        <v>135</v>
      </c>
      <c r="BD124" t="s">
        <v>74</v>
      </c>
      <c r="BE124" t="s">
        <v>1947</v>
      </c>
      <c r="BF124" t="str">
        <f>HYPERLINK("http://dx.doi.org/10.1016/S0012-821X(01)00446-0","http://dx.doi.org/10.1016/S0012-821X(01)00446-0")</f>
        <v>http://dx.doi.org/10.1016/S0012-821X(01)00446-0</v>
      </c>
      <c r="BG124" t="s">
        <v>74</v>
      </c>
      <c r="BH124" t="s">
        <v>74</v>
      </c>
      <c r="BI124">
        <v>11</v>
      </c>
      <c r="BJ124" t="s">
        <v>388</v>
      </c>
      <c r="BK124" t="s">
        <v>88</v>
      </c>
      <c r="BL124" t="s">
        <v>388</v>
      </c>
      <c r="BM124" t="s">
        <v>1948</v>
      </c>
      <c r="BN124" t="s">
        <v>74</v>
      </c>
      <c r="BO124" t="s">
        <v>74</v>
      </c>
      <c r="BP124" t="s">
        <v>74</v>
      </c>
      <c r="BQ124" t="s">
        <v>74</v>
      </c>
      <c r="BR124" t="s">
        <v>91</v>
      </c>
      <c r="BS124" t="s">
        <v>1949</v>
      </c>
      <c r="BT124" t="str">
        <f>HYPERLINK("https%3A%2F%2Fwww.webofscience.com%2Fwos%2Fwoscc%2Ffull-record%2FWOS:000171654100002","View Full Record in Web of Science")</f>
        <v>View Full Record in Web of Science</v>
      </c>
    </row>
    <row r="125" spans="1:72" x14ac:dyDescent="0.15">
      <c r="A125" t="s">
        <v>72</v>
      </c>
      <c r="B125" t="s">
        <v>1950</v>
      </c>
      <c r="C125" t="s">
        <v>74</v>
      </c>
      <c r="D125" t="s">
        <v>74</v>
      </c>
      <c r="E125" t="s">
        <v>74</v>
      </c>
      <c r="F125" t="s">
        <v>1950</v>
      </c>
      <c r="G125" t="s">
        <v>74</v>
      </c>
      <c r="H125" t="s">
        <v>74</v>
      </c>
      <c r="I125" t="s">
        <v>1951</v>
      </c>
      <c r="J125" t="s">
        <v>1952</v>
      </c>
      <c r="K125" t="s">
        <v>74</v>
      </c>
      <c r="L125" t="s">
        <v>74</v>
      </c>
      <c r="M125" t="s">
        <v>77</v>
      </c>
      <c r="N125" t="s">
        <v>120</v>
      </c>
      <c r="O125" t="s">
        <v>74</v>
      </c>
      <c r="P125" t="s">
        <v>74</v>
      </c>
      <c r="Q125" t="s">
        <v>74</v>
      </c>
      <c r="R125" t="s">
        <v>74</v>
      </c>
      <c r="S125" t="s">
        <v>74</v>
      </c>
      <c r="T125" t="s">
        <v>74</v>
      </c>
      <c r="U125" t="s">
        <v>1953</v>
      </c>
      <c r="V125" t="s">
        <v>1954</v>
      </c>
      <c r="W125" t="s">
        <v>1955</v>
      </c>
      <c r="X125" t="s">
        <v>1956</v>
      </c>
      <c r="Y125" t="s">
        <v>1957</v>
      </c>
      <c r="Z125" t="s">
        <v>74</v>
      </c>
      <c r="AA125" t="s">
        <v>1958</v>
      </c>
      <c r="AB125" t="s">
        <v>1959</v>
      </c>
      <c r="AC125" t="s">
        <v>74</v>
      </c>
      <c r="AD125" t="s">
        <v>74</v>
      </c>
      <c r="AE125" t="s">
        <v>74</v>
      </c>
      <c r="AF125" t="s">
        <v>74</v>
      </c>
      <c r="AG125">
        <v>38</v>
      </c>
      <c r="AH125">
        <v>65</v>
      </c>
      <c r="AI125">
        <v>69</v>
      </c>
      <c r="AJ125">
        <v>1</v>
      </c>
      <c r="AK125">
        <v>27</v>
      </c>
      <c r="AL125" t="s">
        <v>508</v>
      </c>
      <c r="AM125" t="s">
        <v>150</v>
      </c>
      <c r="AN125" t="s">
        <v>509</v>
      </c>
      <c r="AO125" t="s">
        <v>1960</v>
      </c>
      <c r="AP125" t="s">
        <v>74</v>
      </c>
      <c r="AQ125" t="s">
        <v>74</v>
      </c>
      <c r="AR125" t="s">
        <v>1961</v>
      </c>
      <c r="AS125" t="s">
        <v>1962</v>
      </c>
      <c r="AT125" t="s">
        <v>1946</v>
      </c>
      <c r="AU125">
        <v>2001</v>
      </c>
      <c r="AV125">
        <v>35</v>
      </c>
      <c r="AW125">
        <v>20</v>
      </c>
      <c r="AX125" t="s">
        <v>74</v>
      </c>
      <c r="AY125" t="s">
        <v>74</v>
      </c>
      <c r="AZ125" t="s">
        <v>74</v>
      </c>
      <c r="BA125" t="s">
        <v>74</v>
      </c>
      <c r="BB125">
        <v>4046</v>
      </c>
      <c r="BC125">
        <v>4053</v>
      </c>
      <c r="BD125" t="s">
        <v>74</v>
      </c>
      <c r="BE125" t="s">
        <v>1963</v>
      </c>
      <c r="BF125" t="str">
        <f>HYPERLINK("http://dx.doi.org/10.1021/es010113y","http://dx.doi.org/10.1021/es010113y")</f>
        <v>http://dx.doi.org/10.1021/es010113y</v>
      </c>
      <c r="BG125" t="s">
        <v>74</v>
      </c>
      <c r="BH125" t="s">
        <v>74</v>
      </c>
      <c r="BI125">
        <v>8</v>
      </c>
      <c r="BJ125" t="s">
        <v>135</v>
      </c>
      <c r="BK125" t="s">
        <v>88</v>
      </c>
      <c r="BL125" t="s">
        <v>136</v>
      </c>
      <c r="BM125" t="s">
        <v>1964</v>
      </c>
      <c r="BN125">
        <v>11686365</v>
      </c>
      <c r="BO125" t="s">
        <v>74</v>
      </c>
      <c r="BP125" t="s">
        <v>74</v>
      </c>
      <c r="BQ125" t="s">
        <v>74</v>
      </c>
      <c r="BR125" t="s">
        <v>91</v>
      </c>
      <c r="BS125" t="s">
        <v>1965</v>
      </c>
      <c r="BT125" t="str">
        <f>HYPERLINK("https%3A%2F%2Fwww.webofscience.com%2Fwos%2Fwoscc%2Ffull-record%2FWOS:000171528100007","View Full Record in Web of Science")</f>
        <v>View Full Record in Web of Science</v>
      </c>
    </row>
    <row r="126" spans="1:72" x14ac:dyDescent="0.15">
      <c r="A126" t="s">
        <v>72</v>
      </c>
      <c r="B126" t="s">
        <v>1966</v>
      </c>
      <c r="C126" t="s">
        <v>74</v>
      </c>
      <c r="D126" t="s">
        <v>74</v>
      </c>
      <c r="E126" t="s">
        <v>74</v>
      </c>
      <c r="F126" t="s">
        <v>1966</v>
      </c>
      <c r="G126" t="s">
        <v>74</v>
      </c>
      <c r="H126" t="s">
        <v>74</v>
      </c>
      <c r="I126" t="s">
        <v>1967</v>
      </c>
      <c r="J126" t="s">
        <v>613</v>
      </c>
      <c r="K126" t="s">
        <v>74</v>
      </c>
      <c r="L126" t="s">
        <v>74</v>
      </c>
      <c r="M126" t="s">
        <v>77</v>
      </c>
      <c r="N126" t="s">
        <v>120</v>
      </c>
      <c r="O126" t="s">
        <v>74</v>
      </c>
      <c r="P126" t="s">
        <v>74</v>
      </c>
      <c r="Q126" t="s">
        <v>74</v>
      </c>
      <c r="R126" t="s">
        <v>74</v>
      </c>
      <c r="S126" t="s">
        <v>74</v>
      </c>
      <c r="T126" t="s">
        <v>74</v>
      </c>
      <c r="U126" t="s">
        <v>1968</v>
      </c>
      <c r="V126" t="s">
        <v>1969</v>
      </c>
      <c r="W126" t="s">
        <v>1970</v>
      </c>
      <c r="X126" t="s">
        <v>1971</v>
      </c>
      <c r="Y126" t="s">
        <v>1972</v>
      </c>
      <c r="Z126" t="s">
        <v>1973</v>
      </c>
      <c r="AA126" t="s">
        <v>1974</v>
      </c>
      <c r="AB126" t="s">
        <v>1975</v>
      </c>
      <c r="AC126" t="s">
        <v>74</v>
      </c>
      <c r="AD126" t="s">
        <v>74</v>
      </c>
      <c r="AE126" t="s">
        <v>74</v>
      </c>
      <c r="AF126" t="s">
        <v>74</v>
      </c>
      <c r="AG126">
        <v>37</v>
      </c>
      <c r="AH126">
        <v>110</v>
      </c>
      <c r="AI126">
        <v>127</v>
      </c>
      <c r="AJ126">
        <v>4</v>
      </c>
      <c r="AK126">
        <v>46</v>
      </c>
      <c r="AL126" t="s">
        <v>149</v>
      </c>
      <c r="AM126" t="s">
        <v>150</v>
      </c>
      <c r="AN126" t="s">
        <v>151</v>
      </c>
      <c r="AO126" t="s">
        <v>619</v>
      </c>
      <c r="AP126" t="s">
        <v>1094</v>
      </c>
      <c r="AQ126" t="s">
        <v>74</v>
      </c>
      <c r="AR126" t="s">
        <v>620</v>
      </c>
      <c r="AS126" t="s">
        <v>621</v>
      </c>
      <c r="AT126" t="s">
        <v>1946</v>
      </c>
      <c r="AU126">
        <v>2001</v>
      </c>
      <c r="AV126">
        <v>28</v>
      </c>
      <c r="AW126">
        <v>20</v>
      </c>
      <c r="AX126" t="s">
        <v>74</v>
      </c>
      <c r="AY126" t="s">
        <v>74</v>
      </c>
      <c r="AZ126" t="s">
        <v>74</v>
      </c>
      <c r="BA126" t="s">
        <v>74</v>
      </c>
      <c r="BB126">
        <v>3907</v>
      </c>
      <c r="BC126">
        <v>3910</v>
      </c>
      <c r="BD126" t="s">
        <v>74</v>
      </c>
      <c r="BE126" t="s">
        <v>1976</v>
      </c>
      <c r="BF126" t="str">
        <f>HYPERLINK("http://dx.doi.org/10.1029/2001GL012867","http://dx.doi.org/10.1029/2001GL012867")</f>
        <v>http://dx.doi.org/10.1029/2001GL012867</v>
      </c>
      <c r="BG126" t="s">
        <v>74</v>
      </c>
      <c r="BH126" t="s">
        <v>74</v>
      </c>
      <c r="BI126">
        <v>4</v>
      </c>
      <c r="BJ126" t="s">
        <v>300</v>
      </c>
      <c r="BK126" t="s">
        <v>88</v>
      </c>
      <c r="BL126" t="s">
        <v>113</v>
      </c>
      <c r="BM126" t="s">
        <v>1977</v>
      </c>
      <c r="BN126" t="s">
        <v>74</v>
      </c>
      <c r="BO126" t="s">
        <v>563</v>
      </c>
      <c r="BP126" t="s">
        <v>74</v>
      </c>
      <c r="BQ126" t="s">
        <v>74</v>
      </c>
      <c r="BR126" t="s">
        <v>91</v>
      </c>
      <c r="BS126" t="s">
        <v>1978</v>
      </c>
      <c r="BT126" t="str">
        <f>HYPERLINK("https%3A%2F%2Fwww.webofscience.com%2Fwos%2Fwoscc%2Ffull-record%2FWOS:000171588000021","View Full Record in Web of Science")</f>
        <v>View Full Record in Web of Science</v>
      </c>
    </row>
    <row r="127" spans="1:72" x14ac:dyDescent="0.15">
      <c r="A127" t="s">
        <v>72</v>
      </c>
      <c r="B127" t="s">
        <v>1979</v>
      </c>
      <c r="C127" t="s">
        <v>74</v>
      </c>
      <c r="D127" t="s">
        <v>74</v>
      </c>
      <c r="E127" t="s">
        <v>74</v>
      </c>
      <c r="F127" t="s">
        <v>1979</v>
      </c>
      <c r="G127" t="s">
        <v>74</v>
      </c>
      <c r="H127" t="s">
        <v>74</v>
      </c>
      <c r="I127" t="s">
        <v>1980</v>
      </c>
      <c r="J127" t="s">
        <v>613</v>
      </c>
      <c r="K127" t="s">
        <v>74</v>
      </c>
      <c r="L127" t="s">
        <v>74</v>
      </c>
      <c r="M127" t="s">
        <v>77</v>
      </c>
      <c r="N127" t="s">
        <v>120</v>
      </c>
      <c r="O127" t="s">
        <v>74</v>
      </c>
      <c r="P127" t="s">
        <v>74</v>
      </c>
      <c r="Q127" t="s">
        <v>74</v>
      </c>
      <c r="R127" t="s">
        <v>74</v>
      </c>
      <c r="S127" t="s">
        <v>74</v>
      </c>
      <c r="T127" t="s">
        <v>74</v>
      </c>
      <c r="U127" t="s">
        <v>1981</v>
      </c>
      <c r="V127" t="s">
        <v>1982</v>
      </c>
      <c r="W127" t="s">
        <v>1983</v>
      </c>
      <c r="X127" t="s">
        <v>1984</v>
      </c>
      <c r="Y127" t="s">
        <v>1985</v>
      </c>
      <c r="Z127" t="s">
        <v>74</v>
      </c>
      <c r="AA127" t="s">
        <v>1986</v>
      </c>
      <c r="AB127" t="s">
        <v>74</v>
      </c>
      <c r="AC127" t="s">
        <v>74</v>
      </c>
      <c r="AD127" t="s">
        <v>74</v>
      </c>
      <c r="AE127" t="s">
        <v>74</v>
      </c>
      <c r="AF127" t="s">
        <v>74</v>
      </c>
      <c r="AG127">
        <v>18</v>
      </c>
      <c r="AH127">
        <v>29</v>
      </c>
      <c r="AI127">
        <v>32</v>
      </c>
      <c r="AJ127">
        <v>0</v>
      </c>
      <c r="AK127">
        <v>1</v>
      </c>
      <c r="AL127" t="s">
        <v>149</v>
      </c>
      <c r="AM127" t="s">
        <v>150</v>
      </c>
      <c r="AN127" t="s">
        <v>151</v>
      </c>
      <c r="AO127" t="s">
        <v>619</v>
      </c>
      <c r="AP127" t="s">
        <v>74</v>
      </c>
      <c r="AQ127" t="s">
        <v>74</v>
      </c>
      <c r="AR127" t="s">
        <v>620</v>
      </c>
      <c r="AS127" t="s">
        <v>621</v>
      </c>
      <c r="AT127" t="s">
        <v>1946</v>
      </c>
      <c r="AU127">
        <v>2001</v>
      </c>
      <c r="AV127">
        <v>28</v>
      </c>
      <c r="AW127">
        <v>20</v>
      </c>
      <c r="AX127" t="s">
        <v>74</v>
      </c>
      <c r="AY127" t="s">
        <v>74</v>
      </c>
      <c r="AZ127" t="s">
        <v>74</v>
      </c>
      <c r="BA127" t="s">
        <v>74</v>
      </c>
      <c r="BB127">
        <v>3927</v>
      </c>
      <c r="BC127">
        <v>3930</v>
      </c>
      <c r="BD127" t="s">
        <v>74</v>
      </c>
      <c r="BE127" t="s">
        <v>1987</v>
      </c>
      <c r="BF127" t="str">
        <f>HYPERLINK("http://dx.doi.org/10.1029/2001GL013705","http://dx.doi.org/10.1029/2001GL013705")</f>
        <v>http://dx.doi.org/10.1029/2001GL013705</v>
      </c>
      <c r="BG127" t="s">
        <v>74</v>
      </c>
      <c r="BH127" t="s">
        <v>74</v>
      </c>
      <c r="BI127">
        <v>4</v>
      </c>
      <c r="BJ127" t="s">
        <v>300</v>
      </c>
      <c r="BK127" t="s">
        <v>88</v>
      </c>
      <c r="BL127" t="s">
        <v>113</v>
      </c>
      <c r="BM127" t="s">
        <v>1977</v>
      </c>
      <c r="BN127" t="s">
        <v>74</v>
      </c>
      <c r="BO127" t="s">
        <v>171</v>
      </c>
      <c r="BP127" t="s">
        <v>74</v>
      </c>
      <c r="BQ127" t="s">
        <v>74</v>
      </c>
      <c r="BR127" t="s">
        <v>91</v>
      </c>
      <c r="BS127" t="s">
        <v>1988</v>
      </c>
      <c r="BT127" t="str">
        <f>HYPERLINK("https%3A%2F%2Fwww.webofscience.com%2Fwos%2Fwoscc%2Ffull-record%2FWOS:000171588000026","View Full Record in Web of Science")</f>
        <v>View Full Record in Web of Science</v>
      </c>
    </row>
    <row r="128" spans="1:72" x14ac:dyDescent="0.15">
      <c r="A128" t="s">
        <v>72</v>
      </c>
      <c r="B128" t="s">
        <v>1989</v>
      </c>
      <c r="C128" t="s">
        <v>74</v>
      </c>
      <c r="D128" t="s">
        <v>74</v>
      </c>
      <c r="E128" t="s">
        <v>74</v>
      </c>
      <c r="F128" t="s">
        <v>1989</v>
      </c>
      <c r="G128" t="s">
        <v>74</v>
      </c>
      <c r="H128" t="s">
        <v>74</v>
      </c>
      <c r="I128" t="s">
        <v>1990</v>
      </c>
      <c r="J128" t="s">
        <v>678</v>
      </c>
      <c r="K128" t="s">
        <v>74</v>
      </c>
      <c r="L128" t="s">
        <v>74</v>
      </c>
      <c r="M128" t="s">
        <v>77</v>
      </c>
      <c r="N128" t="s">
        <v>120</v>
      </c>
      <c r="O128" t="s">
        <v>74</v>
      </c>
      <c r="P128" t="s">
        <v>74</v>
      </c>
      <c r="Q128" t="s">
        <v>74</v>
      </c>
      <c r="R128" t="s">
        <v>74</v>
      </c>
      <c r="S128" t="s">
        <v>74</v>
      </c>
      <c r="T128" t="s">
        <v>74</v>
      </c>
      <c r="U128" t="s">
        <v>1991</v>
      </c>
      <c r="V128" t="s">
        <v>1992</v>
      </c>
      <c r="W128" t="s">
        <v>461</v>
      </c>
      <c r="X128" t="s">
        <v>462</v>
      </c>
      <c r="Y128" t="s">
        <v>1993</v>
      </c>
      <c r="Z128" t="s">
        <v>74</v>
      </c>
      <c r="AA128" t="s">
        <v>74</v>
      </c>
      <c r="AB128" t="s">
        <v>1994</v>
      </c>
      <c r="AC128" t="s">
        <v>1995</v>
      </c>
      <c r="AD128" t="s">
        <v>1996</v>
      </c>
      <c r="AE128" t="s">
        <v>74</v>
      </c>
      <c r="AF128" t="s">
        <v>74</v>
      </c>
      <c r="AG128">
        <v>27</v>
      </c>
      <c r="AH128">
        <v>16</v>
      </c>
      <c r="AI128">
        <v>16</v>
      </c>
      <c r="AJ128">
        <v>0</v>
      </c>
      <c r="AK128">
        <v>3</v>
      </c>
      <c r="AL128" t="s">
        <v>104</v>
      </c>
      <c r="AM128" t="s">
        <v>683</v>
      </c>
      <c r="AN128" t="s">
        <v>684</v>
      </c>
      <c r="AO128" t="s">
        <v>685</v>
      </c>
      <c r="AP128" t="s">
        <v>74</v>
      </c>
      <c r="AQ128" t="s">
        <v>74</v>
      </c>
      <c r="AR128" t="s">
        <v>686</v>
      </c>
      <c r="AS128" t="s">
        <v>687</v>
      </c>
      <c r="AT128" t="s">
        <v>1946</v>
      </c>
      <c r="AU128">
        <v>2001</v>
      </c>
      <c r="AV128">
        <v>22</v>
      </c>
      <c r="AW128">
        <v>15</v>
      </c>
      <c r="AX128" t="s">
        <v>74</v>
      </c>
      <c r="AY128" t="s">
        <v>74</v>
      </c>
      <c r="AZ128" t="s">
        <v>74</v>
      </c>
      <c r="BA128" t="s">
        <v>74</v>
      </c>
      <c r="BB128">
        <v>3027</v>
      </c>
      <c r="BC128">
        <v>3046</v>
      </c>
      <c r="BD128" t="s">
        <v>74</v>
      </c>
      <c r="BE128" t="s">
        <v>1997</v>
      </c>
      <c r="BF128" t="str">
        <f>HYPERLINK("http://dx.doi.org/10.1080/01431160121291","http://dx.doi.org/10.1080/01431160121291")</f>
        <v>http://dx.doi.org/10.1080/01431160121291</v>
      </c>
      <c r="BG128" t="s">
        <v>74</v>
      </c>
      <c r="BH128" t="s">
        <v>74</v>
      </c>
      <c r="BI128">
        <v>20</v>
      </c>
      <c r="BJ128" t="s">
        <v>690</v>
      </c>
      <c r="BK128" t="s">
        <v>88</v>
      </c>
      <c r="BL128" t="s">
        <v>690</v>
      </c>
      <c r="BM128" t="s">
        <v>1998</v>
      </c>
      <c r="BN128" t="s">
        <v>74</v>
      </c>
      <c r="BO128" t="s">
        <v>74</v>
      </c>
      <c r="BP128" t="s">
        <v>74</v>
      </c>
      <c r="BQ128" t="s">
        <v>74</v>
      </c>
      <c r="BR128" t="s">
        <v>91</v>
      </c>
      <c r="BS128" t="s">
        <v>1999</v>
      </c>
      <c r="BT128" t="str">
        <f>HYPERLINK("https%3A%2F%2Fwww.webofscience.com%2Fwos%2Fwoscc%2Ffull-record%2FWOS:000171185100012","View Full Record in Web of Science")</f>
        <v>View Full Record in Web of Science</v>
      </c>
    </row>
    <row r="129" spans="1:72" x14ac:dyDescent="0.15">
      <c r="A129" t="s">
        <v>72</v>
      </c>
      <c r="B129" t="s">
        <v>2000</v>
      </c>
      <c r="C129" t="s">
        <v>74</v>
      </c>
      <c r="D129" t="s">
        <v>74</v>
      </c>
      <c r="E129" t="s">
        <v>74</v>
      </c>
      <c r="F129" t="s">
        <v>2000</v>
      </c>
      <c r="G129" t="s">
        <v>74</v>
      </c>
      <c r="H129" t="s">
        <v>74</v>
      </c>
      <c r="I129" t="s">
        <v>2001</v>
      </c>
      <c r="J129" t="s">
        <v>655</v>
      </c>
      <c r="K129" t="s">
        <v>74</v>
      </c>
      <c r="L129" t="s">
        <v>74</v>
      </c>
      <c r="M129" t="s">
        <v>77</v>
      </c>
      <c r="N129" t="s">
        <v>96</v>
      </c>
      <c r="O129" t="s">
        <v>74</v>
      </c>
      <c r="P129" t="s">
        <v>74</v>
      </c>
      <c r="Q129" t="s">
        <v>74</v>
      </c>
      <c r="R129" t="s">
        <v>74</v>
      </c>
      <c r="S129" t="s">
        <v>74</v>
      </c>
      <c r="T129" t="s">
        <v>74</v>
      </c>
      <c r="U129" t="s">
        <v>2002</v>
      </c>
      <c r="V129" t="s">
        <v>2003</v>
      </c>
      <c r="W129" t="s">
        <v>2004</v>
      </c>
      <c r="X129" t="s">
        <v>2005</v>
      </c>
      <c r="Y129" t="s">
        <v>2006</v>
      </c>
      <c r="Z129" t="s">
        <v>2007</v>
      </c>
      <c r="AA129" t="s">
        <v>74</v>
      </c>
      <c r="AB129" t="s">
        <v>74</v>
      </c>
      <c r="AC129" t="s">
        <v>74</v>
      </c>
      <c r="AD129" t="s">
        <v>74</v>
      </c>
      <c r="AE129" t="s">
        <v>74</v>
      </c>
      <c r="AF129" t="s">
        <v>74</v>
      </c>
      <c r="AG129">
        <v>114</v>
      </c>
      <c r="AH129">
        <v>61</v>
      </c>
      <c r="AI129">
        <v>71</v>
      </c>
      <c r="AJ129">
        <v>2</v>
      </c>
      <c r="AK129">
        <v>25</v>
      </c>
      <c r="AL129" t="s">
        <v>149</v>
      </c>
      <c r="AM129" t="s">
        <v>150</v>
      </c>
      <c r="AN129" t="s">
        <v>151</v>
      </c>
      <c r="AO129" t="s">
        <v>662</v>
      </c>
      <c r="AP129" t="s">
        <v>663</v>
      </c>
      <c r="AQ129" t="s">
        <v>74</v>
      </c>
      <c r="AR129" t="s">
        <v>664</v>
      </c>
      <c r="AS129" t="s">
        <v>665</v>
      </c>
      <c r="AT129" t="s">
        <v>1946</v>
      </c>
      <c r="AU129">
        <v>2001</v>
      </c>
      <c r="AV129">
        <v>106</v>
      </c>
      <c r="AW129" t="s">
        <v>2008</v>
      </c>
      <c r="AX129" t="s">
        <v>74</v>
      </c>
      <c r="AY129" t="s">
        <v>74</v>
      </c>
      <c r="AZ129" t="s">
        <v>74</v>
      </c>
      <c r="BA129" t="s">
        <v>74</v>
      </c>
      <c r="BB129">
        <v>22159</v>
      </c>
      <c r="BC129">
        <v>22178</v>
      </c>
      <c r="BD129" t="s">
        <v>74</v>
      </c>
      <c r="BE129" t="s">
        <v>2009</v>
      </c>
      <c r="BF129" t="str">
        <f>HYPERLINK("http://dx.doi.org/10.1029/1999JC000184","http://dx.doi.org/10.1029/1999JC000184")</f>
        <v>http://dx.doi.org/10.1029/1999JC000184</v>
      </c>
      <c r="BG129" t="s">
        <v>74</v>
      </c>
      <c r="BH129" t="s">
        <v>74</v>
      </c>
      <c r="BI129">
        <v>20</v>
      </c>
      <c r="BJ129" t="s">
        <v>668</v>
      </c>
      <c r="BK129" t="s">
        <v>88</v>
      </c>
      <c r="BL129" t="s">
        <v>668</v>
      </c>
      <c r="BM129" t="s">
        <v>2010</v>
      </c>
      <c r="BN129" t="s">
        <v>74</v>
      </c>
      <c r="BO129" t="s">
        <v>74</v>
      </c>
      <c r="BP129" t="s">
        <v>74</v>
      </c>
      <c r="BQ129" t="s">
        <v>74</v>
      </c>
      <c r="BR129" t="s">
        <v>91</v>
      </c>
      <c r="BS129" t="s">
        <v>2011</v>
      </c>
      <c r="BT129" t="str">
        <f>HYPERLINK("https%3A%2F%2Fwww.webofscience.com%2Fwos%2Fwoscc%2Ffull-record%2FWOS:000171468300006","View Full Record in Web of Science")</f>
        <v>View Full Record in Web of Science</v>
      </c>
    </row>
    <row r="130" spans="1:72" x14ac:dyDescent="0.15">
      <c r="A130" t="s">
        <v>72</v>
      </c>
      <c r="B130" t="s">
        <v>2012</v>
      </c>
      <c r="C130" t="s">
        <v>74</v>
      </c>
      <c r="D130" t="s">
        <v>74</v>
      </c>
      <c r="E130" t="s">
        <v>74</v>
      </c>
      <c r="F130" t="s">
        <v>2012</v>
      </c>
      <c r="G130" t="s">
        <v>74</v>
      </c>
      <c r="H130" t="s">
        <v>74</v>
      </c>
      <c r="I130" t="s">
        <v>2013</v>
      </c>
      <c r="J130" t="s">
        <v>655</v>
      </c>
      <c r="K130" t="s">
        <v>74</v>
      </c>
      <c r="L130" t="s">
        <v>74</v>
      </c>
      <c r="M130" t="s">
        <v>77</v>
      </c>
      <c r="N130" t="s">
        <v>120</v>
      </c>
      <c r="O130" t="s">
        <v>74</v>
      </c>
      <c r="P130" t="s">
        <v>74</v>
      </c>
      <c r="Q130" t="s">
        <v>74</v>
      </c>
      <c r="R130" t="s">
        <v>74</v>
      </c>
      <c r="S130" t="s">
        <v>74</v>
      </c>
      <c r="T130" t="s">
        <v>74</v>
      </c>
      <c r="U130" t="s">
        <v>2014</v>
      </c>
      <c r="V130" t="s">
        <v>2015</v>
      </c>
      <c r="W130" t="s">
        <v>2016</v>
      </c>
      <c r="X130" t="s">
        <v>2017</v>
      </c>
      <c r="Y130" t="s">
        <v>2018</v>
      </c>
      <c r="Z130" t="s">
        <v>2019</v>
      </c>
      <c r="AA130" t="s">
        <v>2020</v>
      </c>
      <c r="AB130" t="s">
        <v>2021</v>
      </c>
      <c r="AC130" t="s">
        <v>74</v>
      </c>
      <c r="AD130" t="s">
        <v>74</v>
      </c>
      <c r="AE130" t="s">
        <v>74</v>
      </c>
      <c r="AF130" t="s">
        <v>74</v>
      </c>
      <c r="AG130">
        <v>38</v>
      </c>
      <c r="AH130">
        <v>41</v>
      </c>
      <c r="AI130">
        <v>48</v>
      </c>
      <c r="AJ130">
        <v>0</v>
      </c>
      <c r="AK130">
        <v>7</v>
      </c>
      <c r="AL130" t="s">
        <v>149</v>
      </c>
      <c r="AM130" t="s">
        <v>150</v>
      </c>
      <c r="AN130" t="s">
        <v>151</v>
      </c>
      <c r="AO130" t="s">
        <v>662</v>
      </c>
      <c r="AP130" t="s">
        <v>663</v>
      </c>
      <c r="AQ130" t="s">
        <v>74</v>
      </c>
      <c r="AR130" t="s">
        <v>664</v>
      </c>
      <c r="AS130" t="s">
        <v>665</v>
      </c>
      <c r="AT130" t="s">
        <v>1946</v>
      </c>
      <c r="AU130">
        <v>2001</v>
      </c>
      <c r="AV130">
        <v>106</v>
      </c>
      <c r="AW130" t="s">
        <v>2008</v>
      </c>
      <c r="AX130" t="s">
        <v>74</v>
      </c>
      <c r="AY130" t="s">
        <v>74</v>
      </c>
      <c r="AZ130" t="s">
        <v>74</v>
      </c>
      <c r="BA130" t="s">
        <v>74</v>
      </c>
      <c r="BB130">
        <v>22383</v>
      </c>
      <c r="BC130">
        <v>22399</v>
      </c>
      <c r="BD130" t="s">
        <v>74</v>
      </c>
      <c r="BE130" t="s">
        <v>2022</v>
      </c>
      <c r="BF130" t="str">
        <f>HYPERLINK("http://dx.doi.org/10.1029/2000JC000236","http://dx.doi.org/10.1029/2000JC000236")</f>
        <v>http://dx.doi.org/10.1029/2000JC000236</v>
      </c>
      <c r="BG130" t="s">
        <v>74</v>
      </c>
      <c r="BH130" t="s">
        <v>74</v>
      </c>
      <c r="BI130">
        <v>17</v>
      </c>
      <c r="BJ130" t="s">
        <v>668</v>
      </c>
      <c r="BK130" t="s">
        <v>88</v>
      </c>
      <c r="BL130" t="s">
        <v>668</v>
      </c>
      <c r="BM130" t="s">
        <v>2010</v>
      </c>
      <c r="BN130" t="s">
        <v>74</v>
      </c>
      <c r="BO130" t="s">
        <v>171</v>
      </c>
      <c r="BP130" t="s">
        <v>74</v>
      </c>
      <c r="BQ130" t="s">
        <v>74</v>
      </c>
      <c r="BR130" t="s">
        <v>91</v>
      </c>
      <c r="BS130" t="s">
        <v>2023</v>
      </c>
      <c r="BT130" t="str">
        <f>HYPERLINK("https%3A%2F%2Fwww.webofscience.com%2Fwos%2Fwoscc%2Ffull-record%2FWOS:000171468300020","View Full Record in Web of Science")</f>
        <v>View Full Record in Web of Science</v>
      </c>
    </row>
    <row r="131" spans="1:72" x14ac:dyDescent="0.15">
      <c r="A131" t="s">
        <v>72</v>
      </c>
      <c r="B131" t="s">
        <v>2024</v>
      </c>
      <c r="C131" t="s">
        <v>74</v>
      </c>
      <c r="D131" t="s">
        <v>74</v>
      </c>
      <c r="E131" t="s">
        <v>74</v>
      </c>
      <c r="F131" t="s">
        <v>2024</v>
      </c>
      <c r="G131" t="s">
        <v>74</v>
      </c>
      <c r="H131" t="s">
        <v>74</v>
      </c>
      <c r="I131" t="s">
        <v>2025</v>
      </c>
      <c r="J131" t="s">
        <v>655</v>
      </c>
      <c r="K131" t="s">
        <v>74</v>
      </c>
      <c r="L131" t="s">
        <v>74</v>
      </c>
      <c r="M131" t="s">
        <v>77</v>
      </c>
      <c r="N131" t="s">
        <v>120</v>
      </c>
      <c r="O131" t="s">
        <v>74</v>
      </c>
      <c r="P131" t="s">
        <v>74</v>
      </c>
      <c r="Q131" t="s">
        <v>74</v>
      </c>
      <c r="R131" t="s">
        <v>74</v>
      </c>
      <c r="S131" t="s">
        <v>74</v>
      </c>
      <c r="T131" t="s">
        <v>74</v>
      </c>
      <c r="U131" t="s">
        <v>2026</v>
      </c>
      <c r="V131" t="s">
        <v>2027</v>
      </c>
      <c r="W131" t="s">
        <v>2028</v>
      </c>
      <c r="X131" t="s">
        <v>2029</v>
      </c>
      <c r="Y131" t="s">
        <v>2030</v>
      </c>
      <c r="Z131" t="s">
        <v>2031</v>
      </c>
      <c r="AA131" t="s">
        <v>74</v>
      </c>
      <c r="AB131" t="s">
        <v>74</v>
      </c>
      <c r="AC131" t="s">
        <v>74</v>
      </c>
      <c r="AD131" t="s">
        <v>74</v>
      </c>
      <c r="AE131" t="s">
        <v>74</v>
      </c>
      <c r="AF131" t="s">
        <v>74</v>
      </c>
      <c r="AG131">
        <v>47</v>
      </c>
      <c r="AH131">
        <v>29</v>
      </c>
      <c r="AI131">
        <v>31</v>
      </c>
      <c r="AJ131">
        <v>0</v>
      </c>
      <c r="AK131">
        <v>9</v>
      </c>
      <c r="AL131" t="s">
        <v>149</v>
      </c>
      <c r="AM131" t="s">
        <v>150</v>
      </c>
      <c r="AN131" t="s">
        <v>151</v>
      </c>
      <c r="AO131" t="s">
        <v>662</v>
      </c>
      <c r="AP131" t="s">
        <v>663</v>
      </c>
      <c r="AQ131" t="s">
        <v>74</v>
      </c>
      <c r="AR131" t="s">
        <v>664</v>
      </c>
      <c r="AS131" t="s">
        <v>665</v>
      </c>
      <c r="AT131" t="s">
        <v>1946</v>
      </c>
      <c r="AU131">
        <v>2001</v>
      </c>
      <c r="AV131">
        <v>106</v>
      </c>
      <c r="AW131" t="s">
        <v>2008</v>
      </c>
      <c r="AX131" t="s">
        <v>74</v>
      </c>
      <c r="AY131" t="s">
        <v>74</v>
      </c>
      <c r="AZ131" t="s">
        <v>74</v>
      </c>
      <c r="BA131" t="s">
        <v>74</v>
      </c>
      <c r="BB131">
        <v>22401</v>
      </c>
      <c r="BC131">
        <v>22423</v>
      </c>
      <c r="BD131" t="s">
        <v>74</v>
      </c>
      <c r="BE131" t="s">
        <v>2032</v>
      </c>
      <c r="BF131" t="str">
        <f>HYPERLINK("http://dx.doi.org/10.1029/2000JC000315","http://dx.doi.org/10.1029/2000JC000315")</f>
        <v>http://dx.doi.org/10.1029/2000JC000315</v>
      </c>
      <c r="BG131" t="s">
        <v>74</v>
      </c>
      <c r="BH131" t="s">
        <v>74</v>
      </c>
      <c r="BI131">
        <v>23</v>
      </c>
      <c r="BJ131" t="s">
        <v>668</v>
      </c>
      <c r="BK131" t="s">
        <v>88</v>
      </c>
      <c r="BL131" t="s">
        <v>668</v>
      </c>
      <c r="BM131" t="s">
        <v>2010</v>
      </c>
      <c r="BN131" t="s">
        <v>74</v>
      </c>
      <c r="BO131" t="s">
        <v>171</v>
      </c>
      <c r="BP131" t="s">
        <v>74</v>
      </c>
      <c r="BQ131" t="s">
        <v>74</v>
      </c>
      <c r="BR131" t="s">
        <v>91</v>
      </c>
      <c r="BS131" t="s">
        <v>2033</v>
      </c>
      <c r="BT131" t="str">
        <f>HYPERLINK("https%3A%2F%2Fwww.webofscience.com%2Fwos%2Fwoscc%2Ffull-record%2FWOS:000171468300021","View Full Record in Web of Science")</f>
        <v>View Full Record in Web of Science</v>
      </c>
    </row>
    <row r="132" spans="1:72" x14ac:dyDescent="0.15">
      <c r="A132" t="s">
        <v>72</v>
      </c>
      <c r="B132" t="s">
        <v>2034</v>
      </c>
      <c r="C132" t="s">
        <v>74</v>
      </c>
      <c r="D132" t="s">
        <v>74</v>
      </c>
      <c r="E132" t="s">
        <v>74</v>
      </c>
      <c r="F132" t="s">
        <v>2034</v>
      </c>
      <c r="G132" t="s">
        <v>74</v>
      </c>
      <c r="H132" t="s">
        <v>74</v>
      </c>
      <c r="I132" t="s">
        <v>2035</v>
      </c>
      <c r="J132" t="s">
        <v>655</v>
      </c>
      <c r="K132" t="s">
        <v>74</v>
      </c>
      <c r="L132" t="s">
        <v>74</v>
      </c>
      <c r="M132" t="s">
        <v>77</v>
      </c>
      <c r="N132" t="s">
        <v>120</v>
      </c>
      <c r="O132" t="s">
        <v>74</v>
      </c>
      <c r="P132" t="s">
        <v>74</v>
      </c>
      <c r="Q132" t="s">
        <v>74</v>
      </c>
      <c r="R132" t="s">
        <v>74</v>
      </c>
      <c r="S132" t="s">
        <v>74</v>
      </c>
      <c r="T132" t="s">
        <v>74</v>
      </c>
      <c r="U132" t="s">
        <v>2036</v>
      </c>
      <c r="V132" t="s">
        <v>2037</v>
      </c>
      <c r="W132" t="s">
        <v>2038</v>
      </c>
      <c r="X132" t="s">
        <v>2039</v>
      </c>
      <c r="Y132" t="s">
        <v>74</v>
      </c>
      <c r="Z132" t="s">
        <v>2040</v>
      </c>
      <c r="AA132" t="s">
        <v>74</v>
      </c>
      <c r="AB132" t="s">
        <v>74</v>
      </c>
      <c r="AC132" t="s">
        <v>74</v>
      </c>
      <c r="AD132" t="s">
        <v>74</v>
      </c>
      <c r="AE132" t="s">
        <v>74</v>
      </c>
      <c r="AF132" t="s">
        <v>74</v>
      </c>
      <c r="AG132">
        <v>70</v>
      </c>
      <c r="AH132">
        <v>14</v>
      </c>
      <c r="AI132">
        <v>15</v>
      </c>
      <c r="AJ132">
        <v>0</v>
      </c>
      <c r="AK132">
        <v>2</v>
      </c>
      <c r="AL132" t="s">
        <v>149</v>
      </c>
      <c r="AM132" t="s">
        <v>150</v>
      </c>
      <c r="AN132" t="s">
        <v>151</v>
      </c>
      <c r="AO132" t="s">
        <v>662</v>
      </c>
      <c r="AP132" t="s">
        <v>663</v>
      </c>
      <c r="AQ132" t="s">
        <v>74</v>
      </c>
      <c r="AR132" t="s">
        <v>664</v>
      </c>
      <c r="AS132" t="s">
        <v>665</v>
      </c>
      <c r="AT132" t="s">
        <v>1946</v>
      </c>
      <c r="AU132">
        <v>2001</v>
      </c>
      <c r="AV132">
        <v>106</v>
      </c>
      <c r="AW132" t="s">
        <v>2008</v>
      </c>
      <c r="AX132" t="s">
        <v>74</v>
      </c>
      <c r="AY132" t="s">
        <v>74</v>
      </c>
      <c r="AZ132" t="s">
        <v>74</v>
      </c>
      <c r="BA132" t="s">
        <v>74</v>
      </c>
      <c r="BB132">
        <v>22425</v>
      </c>
      <c r="BC132">
        <v>22440</v>
      </c>
      <c r="BD132" t="s">
        <v>74</v>
      </c>
      <c r="BE132" t="s">
        <v>2041</v>
      </c>
      <c r="BF132" t="str">
        <f>HYPERLINK("http://dx.doi.org/10.1029/2000JC000335","http://dx.doi.org/10.1029/2000JC000335")</f>
        <v>http://dx.doi.org/10.1029/2000JC000335</v>
      </c>
      <c r="BG132" t="s">
        <v>74</v>
      </c>
      <c r="BH132" t="s">
        <v>74</v>
      </c>
      <c r="BI132">
        <v>16</v>
      </c>
      <c r="BJ132" t="s">
        <v>668</v>
      </c>
      <c r="BK132" t="s">
        <v>88</v>
      </c>
      <c r="BL132" t="s">
        <v>668</v>
      </c>
      <c r="BM132" t="s">
        <v>2010</v>
      </c>
      <c r="BN132" t="s">
        <v>74</v>
      </c>
      <c r="BO132" t="s">
        <v>171</v>
      </c>
      <c r="BP132" t="s">
        <v>74</v>
      </c>
      <c r="BQ132" t="s">
        <v>74</v>
      </c>
      <c r="BR132" t="s">
        <v>91</v>
      </c>
      <c r="BS132" t="s">
        <v>2042</v>
      </c>
      <c r="BT132" t="str">
        <f>HYPERLINK("https%3A%2F%2Fwww.webofscience.com%2Fwos%2Fwoscc%2Ffull-record%2FWOS:000171468300022","View Full Record in Web of Science")</f>
        <v>View Full Record in Web of Science</v>
      </c>
    </row>
    <row r="133" spans="1:72" x14ac:dyDescent="0.15">
      <c r="A133" t="s">
        <v>72</v>
      </c>
      <c r="B133" t="s">
        <v>2043</v>
      </c>
      <c r="C133" t="s">
        <v>74</v>
      </c>
      <c r="D133" t="s">
        <v>74</v>
      </c>
      <c r="E133" t="s">
        <v>74</v>
      </c>
      <c r="F133" t="s">
        <v>2043</v>
      </c>
      <c r="G133" t="s">
        <v>74</v>
      </c>
      <c r="H133" t="s">
        <v>74</v>
      </c>
      <c r="I133" t="s">
        <v>2044</v>
      </c>
      <c r="J133" t="s">
        <v>2045</v>
      </c>
      <c r="K133" t="s">
        <v>74</v>
      </c>
      <c r="L133" t="s">
        <v>74</v>
      </c>
      <c r="M133" t="s">
        <v>77</v>
      </c>
      <c r="N133" t="s">
        <v>120</v>
      </c>
      <c r="O133" t="s">
        <v>74</v>
      </c>
      <c r="P133" t="s">
        <v>74</v>
      </c>
      <c r="Q133" t="s">
        <v>74</v>
      </c>
      <c r="R133" t="s">
        <v>74</v>
      </c>
      <c r="S133" t="s">
        <v>74</v>
      </c>
      <c r="T133" t="s">
        <v>2046</v>
      </c>
      <c r="U133" t="s">
        <v>2047</v>
      </c>
      <c r="V133" t="s">
        <v>2048</v>
      </c>
      <c r="W133" t="s">
        <v>2049</v>
      </c>
      <c r="X133" t="s">
        <v>1528</v>
      </c>
      <c r="Y133" t="s">
        <v>2050</v>
      </c>
      <c r="Z133" t="s">
        <v>2051</v>
      </c>
      <c r="AA133" t="s">
        <v>2052</v>
      </c>
      <c r="AB133" t="s">
        <v>2053</v>
      </c>
      <c r="AC133" t="s">
        <v>74</v>
      </c>
      <c r="AD133" t="s">
        <v>74</v>
      </c>
      <c r="AE133" t="s">
        <v>74</v>
      </c>
      <c r="AF133" t="s">
        <v>74</v>
      </c>
      <c r="AG133">
        <v>53</v>
      </c>
      <c r="AH133">
        <v>425</v>
      </c>
      <c r="AI133">
        <v>486</v>
      </c>
      <c r="AJ133">
        <v>1</v>
      </c>
      <c r="AK133">
        <v>145</v>
      </c>
      <c r="AL133" t="s">
        <v>2054</v>
      </c>
      <c r="AM133" t="s">
        <v>683</v>
      </c>
      <c r="AN133" t="s">
        <v>2055</v>
      </c>
      <c r="AO133" t="s">
        <v>2056</v>
      </c>
      <c r="AP133" t="s">
        <v>2057</v>
      </c>
      <c r="AQ133" t="s">
        <v>74</v>
      </c>
      <c r="AR133" t="s">
        <v>2058</v>
      </c>
      <c r="AS133" t="s">
        <v>2059</v>
      </c>
      <c r="AT133" t="s">
        <v>2060</v>
      </c>
      <c r="AU133">
        <v>2001</v>
      </c>
      <c r="AV133">
        <v>268</v>
      </c>
      <c r="AW133">
        <v>1480</v>
      </c>
      <c r="AX133" t="s">
        <v>74</v>
      </c>
      <c r="AY133" t="s">
        <v>74</v>
      </c>
      <c r="AZ133" t="s">
        <v>74</v>
      </c>
      <c r="BA133" t="s">
        <v>74</v>
      </c>
      <c r="BB133">
        <v>2021</v>
      </c>
      <c r="BC133">
        <v>2027</v>
      </c>
      <c r="BD133" t="s">
        <v>74</v>
      </c>
      <c r="BE133" t="s">
        <v>2061</v>
      </c>
      <c r="BF133" t="str">
        <f>HYPERLINK("http://dx.doi.org/10.1098/rspb.2001.1751","http://dx.doi.org/10.1098/rspb.2001.1751")</f>
        <v>http://dx.doi.org/10.1098/rspb.2001.1751</v>
      </c>
      <c r="BG133" t="s">
        <v>74</v>
      </c>
      <c r="BH133" t="s">
        <v>74</v>
      </c>
      <c r="BI133">
        <v>7</v>
      </c>
      <c r="BJ133" t="s">
        <v>2062</v>
      </c>
      <c r="BK133" t="s">
        <v>88</v>
      </c>
      <c r="BL133" t="s">
        <v>2063</v>
      </c>
      <c r="BM133" t="s">
        <v>2064</v>
      </c>
      <c r="BN133">
        <v>11571049</v>
      </c>
      <c r="BO133" t="s">
        <v>761</v>
      </c>
      <c r="BP133" t="s">
        <v>74</v>
      </c>
      <c r="BQ133" t="s">
        <v>74</v>
      </c>
      <c r="BR133" t="s">
        <v>91</v>
      </c>
      <c r="BS133" t="s">
        <v>2065</v>
      </c>
      <c r="BT133" t="str">
        <f>HYPERLINK("https%3A%2F%2Fwww.webofscience.com%2Fwos%2Fwoscc%2Ffull-record%2FWOS:000171566100009","View Full Record in Web of Science")</f>
        <v>View Full Record in Web of Science</v>
      </c>
    </row>
    <row r="134" spans="1:72" x14ac:dyDescent="0.15">
      <c r="A134" t="s">
        <v>72</v>
      </c>
      <c r="B134" t="s">
        <v>2066</v>
      </c>
      <c r="C134" t="s">
        <v>74</v>
      </c>
      <c r="D134" t="s">
        <v>74</v>
      </c>
      <c r="E134" t="s">
        <v>74</v>
      </c>
      <c r="F134" t="s">
        <v>2066</v>
      </c>
      <c r="G134" t="s">
        <v>74</v>
      </c>
      <c r="H134" t="s">
        <v>74</v>
      </c>
      <c r="I134" t="s">
        <v>2067</v>
      </c>
      <c r="J134" t="s">
        <v>1867</v>
      </c>
      <c r="K134" t="s">
        <v>74</v>
      </c>
      <c r="L134" t="s">
        <v>74</v>
      </c>
      <c r="M134" t="s">
        <v>77</v>
      </c>
      <c r="N134" t="s">
        <v>78</v>
      </c>
      <c r="O134" t="s">
        <v>74</v>
      </c>
      <c r="P134" t="s">
        <v>74</v>
      </c>
      <c r="Q134" t="s">
        <v>74</v>
      </c>
      <c r="R134" t="s">
        <v>74</v>
      </c>
      <c r="S134" t="s">
        <v>74</v>
      </c>
      <c r="T134" t="s">
        <v>74</v>
      </c>
      <c r="U134" t="s">
        <v>74</v>
      </c>
      <c r="V134" t="s">
        <v>74</v>
      </c>
      <c r="W134" t="s">
        <v>74</v>
      </c>
      <c r="X134" t="s">
        <v>74</v>
      </c>
      <c r="Y134" t="s">
        <v>74</v>
      </c>
      <c r="Z134" t="s">
        <v>74</v>
      </c>
      <c r="AA134" t="s">
        <v>74</v>
      </c>
      <c r="AB134" t="s">
        <v>74</v>
      </c>
      <c r="AC134" t="s">
        <v>74</v>
      </c>
      <c r="AD134" t="s">
        <v>74</v>
      </c>
      <c r="AE134" t="s">
        <v>74</v>
      </c>
      <c r="AF134" t="s">
        <v>74</v>
      </c>
      <c r="AG134">
        <v>0</v>
      </c>
      <c r="AH134">
        <v>1</v>
      </c>
      <c r="AI134">
        <v>1</v>
      </c>
      <c r="AJ134">
        <v>0</v>
      </c>
      <c r="AK134">
        <v>0</v>
      </c>
      <c r="AL134" t="s">
        <v>1872</v>
      </c>
      <c r="AM134" t="s">
        <v>150</v>
      </c>
      <c r="AN134" t="s">
        <v>1873</v>
      </c>
      <c r="AO134" t="s">
        <v>1874</v>
      </c>
      <c r="AP134" t="s">
        <v>74</v>
      </c>
      <c r="AQ134" t="s">
        <v>74</v>
      </c>
      <c r="AR134" t="s">
        <v>1867</v>
      </c>
      <c r="AS134" t="s">
        <v>1875</v>
      </c>
      <c r="AT134" t="s">
        <v>2068</v>
      </c>
      <c r="AU134">
        <v>2001</v>
      </c>
      <c r="AV134">
        <v>294</v>
      </c>
      <c r="AW134">
        <v>5540</v>
      </c>
      <c r="AX134" t="s">
        <v>74</v>
      </c>
      <c r="AY134" t="s">
        <v>74</v>
      </c>
      <c r="AZ134" t="s">
        <v>74</v>
      </c>
      <c r="BA134" t="s">
        <v>74</v>
      </c>
      <c r="BB134">
        <v>33</v>
      </c>
      <c r="BC134">
        <v>33</v>
      </c>
      <c r="BD134" t="s">
        <v>74</v>
      </c>
      <c r="BE134" t="s">
        <v>74</v>
      </c>
      <c r="BF134" t="s">
        <v>74</v>
      </c>
      <c r="BG134" t="s">
        <v>74</v>
      </c>
      <c r="BH134" t="s">
        <v>74</v>
      </c>
      <c r="BI134">
        <v>1</v>
      </c>
      <c r="BJ134" t="s">
        <v>575</v>
      </c>
      <c r="BK134" t="s">
        <v>88</v>
      </c>
      <c r="BL134" t="s">
        <v>576</v>
      </c>
      <c r="BM134" t="s">
        <v>2069</v>
      </c>
      <c r="BN134">
        <v>11588231</v>
      </c>
      <c r="BO134" t="s">
        <v>74</v>
      </c>
      <c r="BP134" t="s">
        <v>74</v>
      </c>
      <c r="BQ134" t="s">
        <v>74</v>
      </c>
      <c r="BR134" t="s">
        <v>91</v>
      </c>
      <c r="BS134" t="s">
        <v>2070</v>
      </c>
      <c r="BT134" t="str">
        <f>HYPERLINK("https%3A%2F%2Fwww.webofscience.com%2Fwos%2Fwoscc%2Ffull-record%2FWOS:000171448800011","View Full Record in Web of Science")</f>
        <v>View Full Record in Web of Science</v>
      </c>
    </row>
    <row r="135" spans="1:72" x14ac:dyDescent="0.15">
      <c r="A135" t="s">
        <v>72</v>
      </c>
      <c r="B135" t="s">
        <v>2071</v>
      </c>
      <c r="C135" t="s">
        <v>74</v>
      </c>
      <c r="D135" t="s">
        <v>74</v>
      </c>
      <c r="E135" t="s">
        <v>74</v>
      </c>
      <c r="F135" t="s">
        <v>2071</v>
      </c>
      <c r="G135" t="s">
        <v>74</v>
      </c>
      <c r="H135" t="s">
        <v>74</v>
      </c>
      <c r="I135" t="s">
        <v>2072</v>
      </c>
      <c r="J135" t="s">
        <v>2073</v>
      </c>
      <c r="K135" t="s">
        <v>74</v>
      </c>
      <c r="L135" t="s">
        <v>74</v>
      </c>
      <c r="M135" t="s">
        <v>77</v>
      </c>
      <c r="N135" t="s">
        <v>120</v>
      </c>
      <c r="O135" t="s">
        <v>74</v>
      </c>
      <c r="P135" t="s">
        <v>74</v>
      </c>
      <c r="Q135" t="s">
        <v>74</v>
      </c>
      <c r="R135" t="s">
        <v>74</v>
      </c>
      <c r="S135" t="s">
        <v>74</v>
      </c>
      <c r="T135" t="s">
        <v>74</v>
      </c>
      <c r="U135" t="s">
        <v>2074</v>
      </c>
      <c r="V135" t="s">
        <v>74</v>
      </c>
      <c r="W135" t="s">
        <v>461</v>
      </c>
      <c r="X135" t="s">
        <v>462</v>
      </c>
      <c r="Y135" t="s">
        <v>2075</v>
      </c>
      <c r="Z135" t="s">
        <v>74</v>
      </c>
      <c r="AA135" t="s">
        <v>74</v>
      </c>
      <c r="AB135" t="s">
        <v>74</v>
      </c>
      <c r="AC135" t="s">
        <v>74</v>
      </c>
      <c r="AD135" t="s">
        <v>74</v>
      </c>
      <c r="AE135" t="s">
        <v>74</v>
      </c>
      <c r="AF135" t="s">
        <v>74</v>
      </c>
      <c r="AG135">
        <v>12</v>
      </c>
      <c r="AH135">
        <v>1</v>
      </c>
      <c r="AI135">
        <v>1</v>
      </c>
      <c r="AJ135">
        <v>0</v>
      </c>
      <c r="AK135">
        <v>2</v>
      </c>
      <c r="AL135" t="s">
        <v>1080</v>
      </c>
      <c r="AM135" t="s">
        <v>80</v>
      </c>
      <c r="AN135" t="s">
        <v>1081</v>
      </c>
      <c r="AO135" t="s">
        <v>2076</v>
      </c>
      <c r="AP135" t="s">
        <v>74</v>
      </c>
      <c r="AQ135" t="s">
        <v>74</v>
      </c>
      <c r="AR135" t="s">
        <v>2077</v>
      </c>
      <c r="AS135" t="s">
        <v>2078</v>
      </c>
      <c r="AT135" t="s">
        <v>2079</v>
      </c>
      <c r="AU135">
        <v>2001</v>
      </c>
      <c r="AV135">
        <v>42</v>
      </c>
      <c r="AW135">
        <v>5</v>
      </c>
      <c r="AX135" t="s">
        <v>74</v>
      </c>
      <c r="AY135" t="s">
        <v>74</v>
      </c>
      <c r="AZ135" t="s">
        <v>74</v>
      </c>
      <c r="BA135" t="s">
        <v>74</v>
      </c>
      <c r="BB135">
        <v>20</v>
      </c>
      <c r="BC135">
        <v>21</v>
      </c>
      <c r="BD135" t="s">
        <v>74</v>
      </c>
      <c r="BE135" t="s">
        <v>2080</v>
      </c>
      <c r="BF135" t="str">
        <f>HYPERLINK("http://dx.doi.org/10.1046/j.1468-4004.2001.42520.x","http://dx.doi.org/10.1046/j.1468-4004.2001.42520.x")</f>
        <v>http://dx.doi.org/10.1046/j.1468-4004.2001.42520.x</v>
      </c>
      <c r="BG135" t="s">
        <v>74</v>
      </c>
      <c r="BH135" t="s">
        <v>74</v>
      </c>
      <c r="BI135">
        <v>2</v>
      </c>
      <c r="BJ135" t="s">
        <v>2081</v>
      </c>
      <c r="BK135" t="s">
        <v>88</v>
      </c>
      <c r="BL135" t="s">
        <v>2081</v>
      </c>
      <c r="BM135" t="s">
        <v>2082</v>
      </c>
      <c r="BN135" t="s">
        <v>74</v>
      </c>
      <c r="BO135" t="s">
        <v>171</v>
      </c>
      <c r="BP135" t="s">
        <v>74</v>
      </c>
      <c r="BQ135" t="s">
        <v>74</v>
      </c>
      <c r="BR135" t="s">
        <v>91</v>
      </c>
      <c r="BS135" t="s">
        <v>2083</v>
      </c>
      <c r="BT135" t="str">
        <f>HYPERLINK("https%3A%2F%2Fwww.webofscience.com%2Fwos%2Fwoscc%2Ffull-record%2FWOS:000172270100013","View Full Record in Web of Science")</f>
        <v>View Full Record in Web of Science</v>
      </c>
    </row>
    <row r="136" spans="1:72" x14ac:dyDescent="0.15">
      <c r="A136" t="s">
        <v>72</v>
      </c>
      <c r="B136" t="s">
        <v>2084</v>
      </c>
      <c r="C136" t="s">
        <v>74</v>
      </c>
      <c r="D136" t="s">
        <v>74</v>
      </c>
      <c r="E136" t="s">
        <v>74</v>
      </c>
      <c r="F136" t="s">
        <v>2084</v>
      </c>
      <c r="G136" t="s">
        <v>74</v>
      </c>
      <c r="H136" t="s">
        <v>74</v>
      </c>
      <c r="I136" t="s">
        <v>2085</v>
      </c>
      <c r="J136" t="s">
        <v>2086</v>
      </c>
      <c r="K136" t="s">
        <v>74</v>
      </c>
      <c r="L136" t="s">
        <v>74</v>
      </c>
      <c r="M136" t="s">
        <v>77</v>
      </c>
      <c r="N136" t="s">
        <v>120</v>
      </c>
      <c r="O136" t="s">
        <v>74</v>
      </c>
      <c r="P136" t="s">
        <v>74</v>
      </c>
      <c r="Q136" t="s">
        <v>74</v>
      </c>
      <c r="R136" t="s">
        <v>74</v>
      </c>
      <c r="S136" t="s">
        <v>74</v>
      </c>
      <c r="T136" t="s">
        <v>2087</v>
      </c>
      <c r="U136" t="s">
        <v>2088</v>
      </c>
      <c r="V136" t="s">
        <v>2089</v>
      </c>
      <c r="W136" t="s">
        <v>2090</v>
      </c>
      <c r="X136" t="s">
        <v>419</v>
      </c>
      <c r="Y136" t="s">
        <v>2091</v>
      </c>
      <c r="Z136" t="s">
        <v>74</v>
      </c>
      <c r="AA136" t="s">
        <v>74</v>
      </c>
      <c r="AB136" t="s">
        <v>74</v>
      </c>
      <c r="AC136" t="s">
        <v>74</v>
      </c>
      <c r="AD136" t="s">
        <v>74</v>
      </c>
      <c r="AE136" t="s">
        <v>74</v>
      </c>
      <c r="AF136" t="s">
        <v>74</v>
      </c>
      <c r="AG136">
        <v>23</v>
      </c>
      <c r="AH136">
        <v>6</v>
      </c>
      <c r="AI136">
        <v>7</v>
      </c>
      <c r="AJ136">
        <v>0</v>
      </c>
      <c r="AK136">
        <v>8</v>
      </c>
      <c r="AL136" t="s">
        <v>2092</v>
      </c>
      <c r="AM136" t="s">
        <v>2093</v>
      </c>
      <c r="AN136" t="s">
        <v>2094</v>
      </c>
      <c r="AO136" t="s">
        <v>2095</v>
      </c>
      <c r="AP136" t="s">
        <v>74</v>
      </c>
      <c r="AQ136" t="s">
        <v>74</v>
      </c>
      <c r="AR136" t="s">
        <v>2096</v>
      </c>
      <c r="AS136" t="s">
        <v>2097</v>
      </c>
      <c r="AT136" t="s">
        <v>2079</v>
      </c>
      <c r="AU136">
        <v>2001</v>
      </c>
      <c r="AV136">
        <v>48</v>
      </c>
      <c r="AW136">
        <v>5</v>
      </c>
      <c r="AX136" t="s">
        <v>74</v>
      </c>
      <c r="AY136" t="s">
        <v>74</v>
      </c>
      <c r="AZ136" t="s">
        <v>74</v>
      </c>
      <c r="BA136" t="s">
        <v>74</v>
      </c>
      <c r="BB136">
        <v>767</v>
      </c>
      <c r="BC136">
        <v>776</v>
      </c>
      <c r="BD136" t="s">
        <v>74</v>
      </c>
      <c r="BE136" t="s">
        <v>2098</v>
      </c>
      <c r="BF136" t="str">
        <f>HYPERLINK("http://dx.doi.org/10.1046/j.1440-0952.2001.00897.x","http://dx.doi.org/10.1046/j.1440-0952.2001.00897.x")</f>
        <v>http://dx.doi.org/10.1046/j.1440-0952.2001.00897.x</v>
      </c>
      <c r="BG136" t="s">
        <v>74</v>
      </c>
      <c r="BH136" t="s">
        <v>74</v>
      </c>
      <c r="BI136">
        <v>10</v>
      </c>
      <c r="BJ136" t="s">
        <v>300</v>
      </c>
      <c r="BK136" t="s">
        <v>88</v>
      </c>
      <c r="BL136" t="s">
        <v>113</v>
      </c>
      <c r="BM136" t="s">
        <v>2099</v>
      </c>
      <c r="BN136" t="s">
        <v>74</v>
      </c>
      <c r="BO136" t="s">
        <v>74</v>
      </c>
      <c r="BP136" t="s">
        <v>74</v>
      </c>
      <c r="BQ136" t="s">
        <v>74</v>
      </c>
      <c r="BR136" t="s">
        <v>91</v>
      </c>
      <c r="BS136" t="s">
        <v>2100</v>
      </c>
      <c r="BT136" t="str">
        <f>HYPERLINK("https%3A%2F%2Fwww.webofscience.com%2Fwos%2Fwoscc%2Ffull-record%2FWOS:000176144900013","View Full Record in Web of Science")</f>
        <v>View Full Record in Web of Science</v>
      </c>
    </row>
    <row r="137" spans="1:72" x14ac:dyDescent="0.15">
      <c r="A137" t="s">
        <v>72</v>
      </c>
      <c r="B137" t="s">
        <v>2101</v>
      </c>
      <c r="C137" t="s">
        <v>74</v>
      </c>
      <c r="D137" t="s">
        <v>74</v>
      </c>
      <c r="E137" t="s">
        <v>74</v>
      </c>
      <c r="F137" t="s">
        <v>2101</v>
      </c>
      <c r="G137" t="s">
        <v>74</v>
      </c>
      <c r="H137" t="s">
        <v>74</v>
      </c>
      <c r="I137" t="s">
        <v>2102</v>
      </c>
      <c r="J137" t="s">
        <v>2103</v>
      </c>
      <c r="K137" t="s">
        <v>74</v>
      </c>
      <c r="L137" t="s">
        <v>74</v>
      </c>
      <c r="M137" t="s">
        <v>77</v>
      </c>
      <c r="N137" t="s">
        <v>120</v>
      </c>
      <c r="O137" t="s">
        <v>74</v>
      </c>
      <c r="P137" t="s">
        <v>74</v>
      </c>
      <c r="Q137" t="s">
        <v>74</v>
      </c>
      <c r="R137" t="s">
        <v>74</v>
      </c>
      <c r="S137" t="s">
        <v>74</v>
      </c>
      <c r="T137" t="s">
        <v>2104</v>
      </c>
      <c r="U137" t="s">
        <v>2105</v>
      </c>
      <c r="V137" t="s">
        <v>2106</v>
      </c>
      <c r="W137" t="s">
        <v>2107</v>
      </c>
      <c r="X137" t="s">
        <v>2108</v>
      </c>
      <c r="Y137" t="s">
        <v>2109</v>
      </c>
      <c r="Z137" t="s">
        <v>74</v>
      </c>
      <c r="AA137" t="s">
        <v>2110</v>
      </c>
      <c r="AB137" t="s">
        <v>2111</v>
      </c>
      <c r="AC137" t="s">
        <v>74</v>
      </c>
      <c r="AD137" t="s">
        <v>74</v>
      </c>
      <c r="AE137" t="s">
        <v>74</v>
      </c>
      <c r="AF137" t="s">
        <v>74</v>
      </c>
      <c r="AG137">
        <v>27</v>
      </c>
      <c r="AH137">
        <v>13</v>
      </c>
      <c r="AI137">
        <v>14</v>
      </c>
      <c r="AJ137">
        <v>0</v>
      </c>
      <c r="AK137">
        <v>7</v>
      </c>
      <c r="AL137" t="s">
        <v>203</v>
      </c>
      <c r="AM137" t="s">
        <v>204</v>
      </c>
      <c r="AN137" t="s">
        <v>205</v>
      </c>
      <c r="AO137" t="s">
        <v>2112</v>
      </c>
      <c r="AP137" t="s">
        <v>74</v>
      </c>
      <c r="AQ137" t="s">
        <v>74</v>
      </c>
      <c r="AR137" t="s">
        <v>2113</v>
      </c>
      <c r="AS137" t="s">
        <v>2114</v>
      </c>
      <c r="AT137" t="s">
        <v>2079</v>
      </c>
      <c r="AU137">
        <v>2001</v>
      </c>
      <c r="AV137">
        <v>50</v>
      </c>
      <c r="AW137">
        <v>5</v>
      </c>
      <c r="AX137" t="s">
        <v>74</v>
      </c>
      <c r="AY137" t="s">
        <v>74</v>
      </c>
      <c r="AZ137" t="s">
        <v>74</v>
      </c>
      <c r="BA137" t="s">
        <v>74</v>
      </c>
      <c r="BB137">
        <v>461</v>
      </c>
      <c r="BC137">
        <v>466</v>
      </c>
      <c r="BD137" t="s">
        <v>74</v>
      </c>
      <c r="BE137" t="s">
        <v>74</v>
      </c>
      <c r="BF137" t="s">
        <v>74</v>
      </c>
      <c r="BG137" t="s">
        <v>74</v>
      </c>
      <c r="BH137" t="s">
        <v>74</v>
      </c>
      <c r="BI137">
        <v>6</v>
      </c>
      <c r="BJ137" t="s">
        <v>2115</v>
      </c>
      <c r="BK137" t="s">
        <v>88</v>
      </c>
      <c r="BL137" t="s">
        <v>2116</v>
      </c>
      <c r="BM137" t="s">
        <v>2117</v>
      </c>
      <c r="BN137" t="s">
        <v>74</v>
      </c>
      <c r="BO137" t="s">
        <v>74</v>
      </c>
      <c r="BP137" t="s">
        <v>74</v>
      </c>
      <c r="BQ137" t="s">
        <v>74</v>
      </c>
      <c r="BR137" t="s">
        <v>91</v>
      </c>
      <c r="BS137" t="s">
        <v>2118</v>
      </c>
      <c r="BT137" t="str">
        <f>HYPERLINK("https%3A%2F%2Fwww.webofscience.com%2Fwos%2Fwoscc%2Ffull-record%2FWOS:000171706600009","View Full Record in Web of Science")</f>
        <v>View Full Record in Web of Science</v>
      </c>
    </row>
    <row r="138" spans="1:72" x14ac:dyDescent="0.15">
      <c r="A138" t="s">
        <v>72</v>
      </c>
      <c r="B138" t="s">
        <v>2119</v>
      </c>
      <c r="C138" t="s">
        <v>74</v>
      </c>
      <c r="D138" t="s">
        <v>74</v>
      </c>
      <c r="E138" t="s">
        <v>74</v>
      </c>
      <c r="F138" t="s">
        <v>2119</v>
      </c>
      <c r="G138" t="s">
        <v>74</v>
      </c>
      <c r="H138" t="s">
        <v>74</v>
      </c>
      <c r="I138" t="s">
        <v>2120</v>
      </c>
      <c r="J138" t="s">
        <v>2121</v>
      </c>
      <c r="K138" t="s">
        <v>74</v>
      </c>
      <c r="L138" t="s">
        <v>74</v>
      </c>
      <c r="M138" t="s">
        <v>77</v>
      </c>
      <c r="N138" t="s">
        <v>120</v>
      </c>
      <c r="O138" t="s">
        <v>74</v>
      </c>
      <c r="P138" t="s">
        <v>74</v>
      </c>
      <c r="Q138" t="s">
        <v>74</v>
      </c>
      <c r="R138" t="s">
        <v>74</v>
      </c>
      <c r="S138" t="s">
        <v>74</v>
      </c>
      <c r="T138" t="s">
        <v>2122</v>
      </c>
      <c r="U138" t="s">
        <v>2123</v>
      </c>
      <c r="V138" t="s">
        <v>2124</v>
      </c>
      <c r="W138" t="s">
        <v>2125</v>
      </c>
      <c r="X138" t="s">
        <v>2126</v>
      </c>
      <c r="Y138" t="s">
        <v>2127</v>
      </c>
      <c r="Z138" t="s">
        <v>74</v>
      </c>
      <c r="AA138" t="s">
        <v>2128</v>
      </c>
      <c r="AB138" t="s">
        <v>2129</v>
      </c>
      <c r="AC138" t="s">
        <v>74</v>
      </c>
      <c r="AD138" t="s">
        <v>74</v>
      </c>
      <c r="AE138" t="s">
        <v>74</v>
      </c>
      <c r="AF138" t="s">
        <v>74</v>
      </c>
      <c r="AG138">
        <v>27</v>
      </c>
      <c r="AH138">
        <v>6</v>
      </c>
      <c r="AI138">
        <v>6</v>
      </c>
      <c r="AJ138">
        <v>0</v>
      </c>
      <c r="AK138">
        <v>6</v>
      </c>
      <c r="AL138" t="s">
        <v>488</v>
      </c>
      <c r="AM138" t="s">
        <v>350</v>
      </c>
      <c r="AN138" t="s">
        <v>489</v>
      </c>
      <c r="AO138" t="s">
        <v>2130</v>
      </c>
      <c r="AP138" t="s">
        <v>74</v>
      </c>
      <c r="AQ138" t="s">
        <v>74</v>
      </c>
      <c r="AR138" t="s">
        <v>2131</v>
      </c>
      <c r="AS138" t="s">
        <v>2132</v>
      </c>
      <c r="AT138" t="s">
        <v>2079</v>
      </c>
      <c r="AU138">
        <v>2001</v>
      </c>
      <c r="AV138">
        <v>33</v>
      </c>
      <c r="AW138">
        <v>1</v>
      </c>
      <c r="AX138" t="s">
        <v>74</v>
      </c>
      <c r="AY138" t="s">
        <v>74</v>
      </c>
      <c r="AZ138" t="s">
        <v>74</v>
      </c>
      <c r="BA138" t="s">
        <v>74</v>
      </c>
      <c r="BB138">
        <v>19</v>
      </c>
      <c r="BC138">
        <v>27</v>
      </c>
      <c r="BD138" t="s">
        <v>74</v>
      </c>
      <c r="BE138" t="s">
        <v>2133</v>
      </c>
      <c r="BF138" t="str">
        <f>HYPERLINK("http://dx.doi.org/10.1016/S0165-232X(01)00025-8","http://dx.doi.org/10.1016/S0165-232X(01)00025-8")</f>
        <v>http://dx.doi.org/10.1016/S0165-232X(01)00025-8</v>
      </c>
      <c r="BG138" t="s">
        <v>74</v>
      </c>
      <c r="BH138" t="s">
        <v>74</v>
      </c>
      <c r="BI138">
        <v>9</v>
      </c>
      <c r="BJ138" t="s">
        <v>2134</v>
      </c>
      <c r="BK138" t="s">
        <v>88</v>
      </c>
      <c r="BL138" t="s">
        <v>2135</v>
      </c>
      <c r="BM138" t="s">
        <v>2136</v>
      </c>
      <c r="BN138" t="s">
        <v>74</v>
      </c>
      <c r="BO138" t="s">
        <v>74</v>
      </c>
      <c r="BP138" t="s">
        <v>74</v>
      </c>
      <c r="BQ138" t="s">
        <v>74</v>
      </c>
      <c r="BR138" t="s">
        <v>91</v>
      </c>
      <c r="BS138" t="s">
        <v>2137</v>
      </c>
      <c r="BT138" t="str">
        <f>HYPERLINK("https%3A%2F%2Fwww.webofscience.com%2Fwos%2Fwoscc%2Ffull-record%2FWOS:000171527400002","View Full Record in Web of Science")</f>
        <v>View Full Record in Web of Science</v>
      </c>
    </row>
    <row r="139" spans="1:72" x14ac:dyDescent="0.15">
      <c r="A139" t="s">
        <v>72</v>
      </c>
      <c r="B139" t="s">
        <v>2138</v>
      </c>
      <c r="C139" t="s">
        <v>74</v>
      </c>
      <c r="D139" t="s">
        <v>74</v>
      </c>
      <c r="E139" t="s">
        <v>74</v>
      </c>
      <c r="F139" t="s">
        <v>2138</v>
      </c>
      <c r="G139" t="s">
        <v>74</v>
      </c>
      <c r="H139" t="s">
        <v>74</v>
      </c>
      <c r="I139" t="s">
        <v>2139</v>
      </c>
      <c r="J139" t="s">
        <v>2140</v>
      </c>
      <c r="K139" t="s">
        <v>74</v>
      </c>
      <c r="L139" t="s">
        <v>74</v>
      </c>
      <c r="M139" t="s">
        <v>77</v>
      </c>
      <c r="N139" t="s">
        <v>120</v>
      </c>
      <c r="O139" t="s">
        <v>74</v>
      </c>
      <c r="P139" t="s">
        <v>74</v>
      </c>
      <c r="Q139" t="s">
        <v>74</v>
      </c>
      <c r="R139" t="s">
        <v>74</v>
      </c>
      <c r="S139" t="s">
        <v>74</v>
      </c>
      <c r="T139" t="s">
        <v>74</v>
      </c>
      <c r="U139" t="s">
        <v>74</v>
      </c>
      <c r="V139" t="s">
        <v>2141</v>
      </c>
      <c r="W139" t="s">
        <v>2142</v>
      </c>
      <c r="X139" t="s">
        <v>2143</v>
      </c>
      <c r="Y139" t="s">
        <v>2144</v>
      </c>
      <c r="Z139" t="s">
        <v>74</v>
      </c>
      <c r="AA139" t="s">
        <v>74</v>
      </c>
      <c r="AB139" t="s">
        <v>74</v>
      </c>
      <c r="AC139" t="s">
        <v>74</v>
      </c>
      <c r="AD139" t="s">
        <v>74</v>
      </c>
      <c r="AE139" t="s">
        <v>74</v>
      </c>
      <c r="AF139" t="s">
        <v>74</v>
      </c>
      <c r="AG139">
        <v>11</v>
      </c>
      <c r="AH139">
        <v>4</v>
      </c>
      <c r="AI139">
        <v>4</v>
      </c>
      <c r="AJ139">
        <v>0</v>
      </c>
      <c r="AK139">
        <v>0</v>
      </c>
      <c r="AL139" t="s">
        <v>2145</v>
      </c>
      <c r="AM139" t="s">
        <v>2146</v>
      </c>
      <c r="AN139" t="s">
        <v>2147</v>
      </c>
      <c r="AO139" t="s">
        <v>2148</v>
      </c>
      <c r="AP139" t="s">
        <v>74</v>
      </c>
      <c r="AQ139" t="s">
        <v>74</v>
      </c>
      <c r="AR139" t="s">
        <v>2140</v>
      </c>
      <c r="AS139" t="s">
        <v>2149</v>
      </c>
      <c r="AT139" t="s">
        <v>2079</v>
      </c>
      <c r="AU139">
        <v>2001</v>
      </c>
      <c r="AV139">
        <v>74</v>
      </c>
      <c r="AW139" t="s">
        <v>74</v>
      </c>
      <c r="AX139">
        <v>9</v>
      </c>
      <c r="AY139" t="s">
        <v>74</v>
      </c>
      <c r="AZ139" t="s">
        <v>74</v>
      </c>
      <c r="BA139" t="s">
        <v>74</v>
      </c>
      <c r="BB139">
        <v>991</v>
      </c>
      <c r="BC139">
        <v>1002</v>
      </c>
      <c r="BD139" t="s">
        <v>74</v>
      </c>
      <c r="BE139" t="s">
        <v>2150</v>
      </c>
      <c r="BF139" t="str">
        <f>HYPERLINK("http://dx.doi.org/10.1163/15685400152682728","http://dx.doi.org/10.1163/15685400152682728")</f>
        <v>http://dx.doi.org/10.1163/15685400152682728</v>
      </c>
      <c r="BG139" t="s">
        <v>74</v>
      </c>
      <c r="BH139" t="s">
        <v>74</v>
      </c>
      <c r="BI139">
        <v>12</v>
      </c>
      <c r="BJ139" t="s">
        <v>323</v>
      </c>
      <c r="BK139" t="s">
        <v>88</v>
      </c>
      <c r="BL139" t="s">
        <v>323</v>
      </c>
      <c r="BM139" t="s">
        <v>2151</v>
      </c>
      <c r="BN139" t="s">
        <v>74</v>
      </c>
      <c r="BO139" t="s">
        <v>74</v>
      </c>
      <c r="BP139" t="s">
        <v>74</v>
      </c>
      <c r="BQ139" t="s">
        <v>74</v>
      </c>
      <c r="BR139" t="s">
        <v>91</v>
      </c>
      <c r="BS139" t="s">
        <v>2152</v>
      </c>
      <c r="BT139" t="str">
        <f>HYPERLINK("https%3A%2F%2Fwww.webofscience.com%2Fwos%2Fwoscc%2Ffull-record%2FWOS:000173222700016","View Full Record in Web of Science")</f>
        <v>View Full Record in Web of Science</v>
      </c>
    </row>
    <row r="140" spans="1:72" x14ac:dyDescent="0.15">
      <c r="A140" t="s">
        <v>72</v>
      </c>
      <c r="B140" t="s">
        <v>2153</v>
      </c>
      <c r="C140" t="s">
        <v>74</v>
      </c>
      <c r="D140" t="s">
        <v>74</v>
      </c>
      <c r="E140" t="s">
        <v>74</v>
      </c>
      <c r="F140" t="s">
        <v>2153</v>
      </c>
      <c r="G140" t="s">
        <v>74</v>
      </c>
      <c r="H140" t="s">
        <v>74</v>
      </c>
      <c r="I140" t="s">
        <v>2154</v>
      </c>
      <c r="J140" t="s">
        <v>2155</v>
      </c>
      <c r="K140" t="s">
        <v>74</v>
      </c>
      <c r="L140" t="s">
        <v>74</v>
      </c>
      <c r="M140" t="s">
        <v>77</v>
      </c>
      <c r="N140" t="s">
        <v>435</v>
      </c>
      <c r="O140" t="s">
        <v>2156</v>
      </c>
      <c r="P140" t="s">
        <v>2157</v>
      </c>
      <c r="Q140" t="s">
        <v>2158</v>
      </c>
      <c r="R140" t="s">
        <v>74</v>
      </c>
      <c r="S140" t="s">
        <v>2159</v>
      </c>
      <c r="T140" t="s">
        <v>2160</v>
      </c>
      <c r="U140" t="s">
        <v>2161</v>
      </c>
      <c r="V140" t="s">
        <v>2162</v>
      </c>
      <c r="W140" t="s">
        <v>2163</v>
      </c>
      <c r="X140" t="s">
        <v>2164</v>
      </c>
      <c r="Y140" t="s">
        <v>2165</v>
      </c>
      <c r="Z140" t="s">
        <v>74</v>
      </c>
      <c r="AA140" t="s">
        <v>2166</v>
      </c>
      <c r="AB140" t="s">
        <v>2167</v>
      </c>
      <c r="AC140" t="s">
        <v>74</v>
      </c>
      <c r="AD140" t="s">
        <v>74</v>
      </c>
      <c r="AE140" t="s">
        <v>74</v>
      </c>
      <c r="AF140" t="s">
        <v>74</v>
      </c>
      <c r="AG140">
        <v>28</v>
      </c>
      <c r="AH140">
        <v>30</v>
      </c>
      <c r="AI140">
        <v>32</v>
      </c>
      <c r="AJ140">
        <v>0</v>
      </c>
      <c r="AK140">
        <v>8</v>
      </c>
      <c r="AL140" t="s">
        <v>488</v>
      </c>
      <c r="AM140" t="s">
        <v>350</v>
      </c>
      <c r="AN140" t="s">
        <v>489</v>
      </c>
      <c r="AO140" t="s">
        <v>2168</v>
      </c>
      <c r="AP140" t="s">
        <v>74</v>
      </c>
      <c r="AQ140" t="s">
        <v>74</v>
      </c>
      <c r="AR140" t="s">
        <v>2169</v>
      </c>
      <c r="AS140" t="s">
        <v>2170</v>
      </c>
      <c r="AT140" t="s">
        <v>2079</v>
      </c>
      <c r="AU140">
        <v>2001</v>
      </c>
      <c r="AV140">
        <v>34</v>
      </c>
      <c r="AW140" t="s">
        <v>2171</v>
      </c>
      <c r="AX140" t="s">
        <v>74</v>
      </c>
      <c r="AY140" t="s">
        <v>74</v>
      </c>
      <c r="AZ140" t="s">
        <v>74</v>
      </c>
      <c r="BA140" t="s">
        <v>74</v>
      </c>
      <c r="BB140">
        <v>205</v>
      </c>
      <c r="BC140">
        <v>223</v>
      </c>
      <c r="BD140" t="s">
        <v>74</v>
      </c>
      <c r="BE140" t="s">
        <v>2172</v>
      </c>
      <c r="BF140" t="str">
        <f>HYPERLINK("http://dx.doi.org/10.1016/S0377-0265(01)00068-9","http://dx.doi.org/10.1016/S0377-0265(01)00068-9")</f>
        <v>http://dx.doi.org/10.1016/S0377-0265(01)00068-9</v>
      </c>
      <c r="BG140" t="s">
        <v>74</v>
      </c>
      <c r="BH140" t="s">
        <v>74</v>
      </c>
      <c r="BI140">
        <v>19</v>
      </c>
      <c r="BJ140" t="s">
        <v>2173</v>
      </c>
      <c r="BK140" t="s">
        <v>453</v>
      </c>
      <c r="BL140" t="s">
        <v>2173</v>
      </c>
      <c r="BM140" t="s">
        <v>2174</v>
      </c>
      <c r="BN140" t="s">
        <v>74</v>
      </c>
      <c r="BO140" t="s">
        <v>74</v>
      </c>
      <c r="BP140" t="s">
        <v>74</v>
      </c>
      <c r="BQ140" t="s">
        <v>74</v>
      </c>
      <c r="BR140" t="s">
        <v>91</v>
      </c>
      <c r="BS140" t="s">
        <v>2175</v>
      </c>
      <c r="BT140" t="str">
        <f>HYPERLINK("https%3A%2F%2Fwww.webofscience.com%2Fwos%2Fwoscc%2Ffull-record%2FWOS:000170722000008","View Full Record in Web of Science")</f>
        <v>View Full Record in Web of Science</v>
      </c>
    </row>
    <row r="141" spans="1:72" x14ac:dyDescent="0.15">
      <c r="A141" t="s">
        <v>72</v>
      </c>
      <c r="B141" t="s">
        <v>2176</v>
      </c>
      <c r="C141" t="s">
        <v>74</v>
      </c>
      <c r="D141" t="s">
        <v>74</v>
      </c>
      <c r="E141" t="s">
        <v>74</v>
      </c>
      <c r="F141" t="s">
        <v>2176</v>
      </c>
      <c r="G141" t="s">
        <v>74</v>
      </c>
      <c r="H141" t="s">
        <v>74</v>
      </c>
      <c r="I141" t="s">
        <v>2177</v>
      </c>
      <c r="J141" t="s">
        <v>2155</v>
      </c>
      <c r="K141" t="s">
        <v>74</v>
      </c>
      <c r="L141" t="s">
        <v>74</v>
      </c>
      <c r="M141" t="s">
        <v>77</v>
      </c>
      <c r="N141" t="s">
        <v>435</v>
      </c>
      <c r="O141" t="s">
        <v>2156</v>
      </c>
      <c r="P141" t="s">
        <v>2157</v>
      </c>
      <c r="Q141" t="s">
        <v>2158</v>
      </c>
      <c r="R141" t="s">
        <v>74</v>
      </c>
      <c r="S141" t="s">
        <v>2159</v>
      </c>
      <c r="T141" t="s">
        <v>2178</v>
      </c>
      <c r="U141" t="s">
        <v>2179</v>
      </c>
      <c r="V141" t="s">
        <v>2180</v>
      </c>
      <c r="W141" t="s">
        <v>2181</v>
      </c>
      <c r="X141" t="s">
        <v>2182</v>
      </c>
      <c r="Y141" t="s">
        <v>2165</v>
      </c>
      <c r="Z141" t="s">
        <v>74</v>
      </c>
      <c r="AA141" t="s">
        <v>74</v>
      </c>
      <c r="AB141" t="s">
        <v>74</v>
      </c>
      <c r="AC141" t="s">
        <v>74</v>
      </c>
      <c r="AD141" t="s">
        <v>74</v>
      </c>
      <c r="AE141" t="s">
        <v>74</v>
      </c>
      <c r="AF141" t="s">
        <v>74</v>
      </c>
      <c r="AG141">
        <v>24</v>
      </c>
      <c r="AH141">
        <v>13</v>
      </c>
      <c r="AI141">
        <v>17</v>
      </c>
      <c r="AJ141">
        <v>1</v>
      </c>
      <c r="AK141">
        <v>4</v>
      </c>
      <c r="AL141" t="s">
        <v>488</v>
      </c>
      <c r="AM141" t="s">
        <v>350</v>
      </c>
      <c r="AN141" t="s">
        <v>489</v>
      </c>
      <c r="AO141" t="s">
        <v>2168</v>
      </c>
      <c r="AP141" t="s">
        <v>74</v>
      </c>
      <c r="AQ141" t="s">
        <v>74</v>
      </c>
      <c r="AR141" t="s">
        <v>2169</v>
      </c>
      <c r="AS141" t="s">
        <v>2170</v>
      </c>
      <c r="AT141" t="s">
        <v>2079</v>
      </c>
      <c r="AU141">
        <v>2001</v>
      </c>
      <c r="AV141">
        <v>34</v>
      </c>
      <c r="AW141" t="s">
        <v>2171</v>
      </c>
      <c r="AX141" t="s">
        <v>74</v>
      </c>
      <c r="AY141" t="s">
        <v>74</v>
      </c>
      <c r="AZ141" t="s">
        <v>74</v>
      </c>
      <c r="BA141" t="s">
        <v>74</v>
      </c>
      <c r="BB141">
        <v>245</v>
      </c>
      <c r="BC141">
        <v>261</v>
      </c>
      <c r="BD141" t="s">
        <v>74</v>
      </c>
      <c r="BE141" t="s">
        <v>2183</v>
      </c>
      <c r="BF141" t="str">
        <f>HYPERLINK("http://dx.doi.org/10.1016/S0377-0265(01)00070-7","http://dx.doi.org/10.1016/S0377-0265(01)00070-7")</f>
        <v>http://dx.doi.org/10.1016/S0377-0265(01)00070-7</v>
      </c>
      <c r="BG141" t="s">
        <v>74</v>
      </c>
      <c r="BH141" t="s">
        <v>74</v>
      </c>
      <c r="BI141">
        <v>17</v>
      </c>
      <c r="BJ141" t="s">
        <v>2173</v>
      </c>
      <c r="BK141" t="s">
        <v>453</v>
      </c>
      <c r="BL141" t="s">
        <v>2173</v>
      </c>
      <c r="BM141" t="s">
        <v>2174</v>
      </c>
      <c r="BN141" t="s">
        <v>74</v>
      </c>
      <c r="BO141" t="s">
        <v>74</v>
      </c>
      <c r="BP141" t="s">
        <v>74</v>
      </c>
      <c r="BQ141" t="s">
        <v>74</v>
      </c>
      <c r="BR141" t="s">
        <v>91</v>
      </c>
      <c r="BS141" t="s">
        <v>2184</v>
      </c>
      <c r="BT141" t="str">
        <f>HYPERLINK("https%3A%2F%2Fwww.webofscience.com%2Fwos%2Fwoscc%2Ffull-record%2FWOS:000170722000010","View Full Record in Web of Science")</f>
        <v>View Full Record in Web of Science</v>
      </c>
    </row>
    <row r="142" spans="1:72" x14ac:dyDescent="0.15">
      <c r="A142" t="s">
        <v>72</v>
      </c>
      <c r="B142" t="s">
        <v>2185</v>
      </c>
      <c r="C142" t="s">
        <v>74</v>
      </c>
      <c r="D142" t="s">
        <v>74</v>
      </c>
      <c r="E142" t="s">
        <v>74</v>
      </c>
      <c r="F142" t="s">
        <v>2185</v>
      </c>
      <c r="G142" t="s">
        <v>74</v>
      </c>
      <c r="H142" t="s">
        <v>74</v>
      </c>
      <c r="I142" t="s">
        <v>2186</v>
      </c>
      <c r="J142" t="s">
        <v>2187</v>
      </c>
      <c r="K142" t="s">
        <v>74</v>
      </c>
      <c r="L142" t="s">
        <v>74</v>
      </c>
      <c r="M142" t="s">
        <v>77</v>
      </c>
      <c r="N142" t="s">
        <v>96</v>
      </c>
      <c r="O142" t="s">
        <v>74</v>
      </c>
      <c r="P142" t="s">
        <v>74</v>
      </c>
      <c r="Q142" t="s">
        <v>74</v>
      </c>
      <c r="R142" t="s">
        <v>74</v>
      </c>
      <c r="S142" t="s">
        <v>74</v>
      </c>
      <c r="T142" t="s">
        <v>2188</v>
      </c>
      <c r="U142" t="s">
        <v>2189</v>
      </c>
      <c r="V142" t="s">
        <v>2190</v>
      </c>
      <c r="W142" t="s">
        <v>461</v>
      </c>
      <c r="X142" t="s">
        <v>462</v>
      </c>
      <c r="Y142" t="s">
        <v>2191</v>
      </c>
      <c r="Z142" t="s">
        <v>74</v>
      </c>
      <c r="AA142" t="s">
        <v>74</v>
      </c>
      <c r="AB142" t="s">
        <v>74</v>
      </c>
      <c r="AC142" t="s">
        <v>74</v>
      </c>
      <c r="AD142" t="s">
        <v>74</v>
      </c>
      <c r="AE142" t="s">
        <v>74</v>
      </c>
      <c r="AF142" t="s">
        <v>74</v>
      </c>
      <c r="AG142">
        <v>174</v>
      </c>
      <c r="AH142">
        <v>269</v>
      </c>
      <c r="AI142">
        <v>286</v>
      </c>
      <c r="AJ142">
        <v>0</v>
      </c>
      <c r="AK142">
        <v>53</v>
      </c>
      <c r="AL142" t="s">
        <v>488</v>
      </c>
      <c r="AM142" t="s">
        <v>350</v>
      </c>
      <c r="AN142" t="s">
        <v>489</v>
      </c>
      <c r="AO142" t="s">
        <v>2192</v>
      </c>
      <c r="AP142" t="s">
        <v>74</v>
      </c>
      <c r="AQ142" t="s">
        <v>74</v>
      </c>
      <c r="AR142" t="s">
        <v>2193</v>
      </c>
      <c r="AS142" t="s">
        <v>2194</v>
      </c>
      <c r="AT142" t="s">
        <v>2079</v>
      </c>
      <c r="AU142">
        <v>2001</v>
      </c>
      <c r="AV142">
        <v>55</v>
      </c>
      <c r="AW142" t="s">
        <v>495</v>
      </c>
      <c r="AX142" t="s">
        <v>74</v>
      </c>
      <c r="AY142" t="s">
        <v>74</v>
      </c>
      <c r="AZ142" t="s">
        <v>74</v>
      </c>
      <c r="BA142" t="s">
        <v>74</v>
      </c>
      <c r="BB142">
        <v>1</v>
      </c>
      <c r="BC142">
        <v>39</v>
      </c>
      <c r="BD142" t="s">
        <v>74</v>
      </c>
      <c r="BE142" t="s">
        <v>2195</v>
      </c>
      <c r="BF142" t="str">
        <f>HYPERLINK("http://dx.doi.org/10.1016/S0012-8252(01)00055-1","http://dx.doi.org/10.1016/S0012-8252(01)00055-1")</f>
        <v>http://dx.doi.org/10.1016/S0012-8252(01)00055-1</v>
      </c>
      <c r="BG142" t="s">
        <v>74</v>
      </c>
      <c r="BH142" t="s">
        <v>74</v>
      </c>
      <c r="BI142">
        <v>39</v>
      </c>
      <c r="BJ142" t="s">
        <v>300</v>
      </c>
      <c r="BK142" t="s">
        <v>88</v>
      </c>
      <c r="BL142" t="s">
        <v>113</v>
      </c>
      <c r="BM142" t="s">
        <v>2196</v>
      </c>
      <c r="BN142" t="s">
        <v>74</v>
      </c>
      <c r="BO142" t="s">
        <v>74</v>
      </c>
      <c r="BP142" t="s">
        <v>74</v>
      </c>
      <c r="BQ142" t="s">
        <v>74</v>
      </c>
      <c r="BR142" t="s">
        <v>91</v>
      </c>
      <c r="BS142" t="s">
        <v>2197</v>
      </c>
      <c r="BT142" t="str">
        <f>HYPERLINK("https%3A%2F%2Fwww.webofscience.com%2Fwos%2Fwoscc%2Ffull-record%2FWOS:000172272700001","View Full Record in Web of Science")</f>
        <v>View Full Record in Web of Science</v>
      </c>
    </row>
    <row r="143" spans="1:72" x14ac:dyDescent="0.15">
      <c r="A143" t="s">
        <v>72</v>
      </c>
      <c r="B143" t="s">
        <v>2198</v>
      </c>
      <c r="C143" t="s">
        <v>74</v>
      </c>
      <c r="D143" t="s">
        <v>74</v>
      </c>
      <c r="E143" t="s">
        <v>74</v>
      </c>
      <c r="F143" t="s">
        <v>2198</v>
      </c>
      <c r="G143" t="s">
        <v>74</v>
      </c>
      <c r="H143" t="s">
        <v>74</v>
      </c>
      <c r="I143" t="s">
        <v>2199</v>
      </c>
      <c r="J143" t="s">
        <v>2187</v>
      </c>
      <c r="K143" t="s">
        <v>74</v>
      </c>
      <c r="L143" t="s">
        <v>74</v>
      </c>
      <c r="M143" t="s">
        <v>77</v>
      </c>
      <c r="N143" t="s">
        <v>120</v>
      </c>
      <c r="O143" t="s">
        <v>74</v>
      </c>
      <c r="P143" t="s">
        <v>74</v>
      </c>
      <c r="Q143" t="s">
        <v>74</v>
      </c>
      <c r="R143" t="s">
        <v>74</v>
      </c>
      <c r="S143" t="s">
        <v>74</v>
      </c>
      <c r="T143" t="s">
        <v>2200</v>
      </c>
      <c r="U143" t="s">
        <v>2201</v>
      </c>
      <c r="V143" t="s">
        <v>2202</v>
      </c>
      <c r="W143" t="s">
        <v>2203</v>
      </c>
      <c r="X143" t="s">
        <v>2204</v>
      </c>
      <c r="Y143" t="s">
        <v>2205</v>
      </c>
      <c r="Z143" t="s">
        <v>2206</v>
      </c>
      <c r="AA143" t="s">
        <v>2207</v>
      </c>
      <c r="AB143" t="s">
        <v>2208</v>
      </c>
      <c r="AC143" t="s">
        <v>74</v>
      </c>
      <c r="AD143" t="s">
        <v>74</v>
      </c>
      <c r="AE143" t="s">
        <v>74</v>
      </c>
      <c r="AF143" t="s">
        <v>74</v>
      </c>
      <c r="AG143">
        <v>94</v>
      </c>
      <c r="AH143">
        <v>265</v>
      </c>
      <c r="AI143">
        <v>288</v>
      </c>
      <c r="AJ143">
        <v>4</v>
      </c>
      <c r="AK143">
        <v>98</v>
      </c>
      <c r="AL143" t="s">
        <v>488</v>
      </c>
      <c r="AM143" t="s">
        <v>350</v>
      </c>
      <c r="AN143" t="s">
        <v>489</v>
      </c>
      <c r="AO143" t="s">
        <v>2192</v>
      </c>
      <c r="AP143" t="s">
        <v>2209</v>
      </c>
      <c r="AQ143" t="s">
        <v>74</v>
      </c>
      <c r="AR143" t="s">
        <v>2193</v>
      </c>
      <c r="AS143" t="s">
        <v>2194</v>
      </c>
      <c r="AT143" t="s">
        <v>2079</v>
      </c>
      <c r="AU143">
        <v>2001</v>
      </c>
      <c r="AV143">
        <v>55</v>
      </c>
      <c r="AW143" t="s">
        <v>495</v>
      </c>
      <c r="AX143" t="s">
        <v>74</v>
      </c>
      <c r="AY143" t="s">
        <v>74</v>
      </c>
      <c r="AZ143" t="s">
        <v>74</v>
      </c>
      <c r="BA143" t="s">
        <v>74</v>
      </c>
      <c r="BB143">
        <v>107</v>
      </c>
      <c r="BC143">
        <v>134</v>
      </c>
      <c r="BD143" t="s">
        <v>74</v>
      </c>
      <c r="BE143" t="s">
        <v>2210</v>
      </c>
      <c r="BF143" t="str">
        <f>HYPERLINK("http://dx.doi.org/10.1016/S0012-8252(01)00057-5","http://dx.doi.org/10.1016/S0012-8252(01)00057-5")</f>
        <v>http://dx.doi.org/10.1016/S0012-8252(01)00057-5</v>
      </c>
      <c r="BG143" t="s">
        <v>74</v>
      </c>
      <c r="BH143" t="s">
        <v>74</v>
      </c>
      <c r="BI143">
        <v>28</v>
      </c>
      <c r="BJ143" t="s">
        <v>300</v>
      </c>
      <c r="BK143" t="s">
        <v>88</v>
      </c>
      <c r="BL143" t="s">
        <v>113</v>
      </c>
      <c r="BM143" t="s">
        <v>2196</v>
      </c>
      <c r="BN143" t="s">
        <v>74</v>
      </c>
      <c r="BO143" t="s">
        <v>74</v>
      </c>
      <c r="BP143" t="s">
        <v>74</v>
      </c>
      <c r="BQ143" t="s">
        <v>74</v>
      </c>
      <c r="BR143" t="s">
        <v>91</v>
      </c>
      <c r="BS143" t="s">
        <v>2211</v>
      </c>
      <c r="BT143" t="str">
        <f>HYPERLINK("https%3A%2F%2Fwww.webofscience.com%2Fwos%2Fwoscc%2Ffull-record%2FWOS:000172272700004","View Full Record in Web of Science")</f>
        <v>View Full Record in Web of Science</v>
      </c>
    </row>
    <row r="144" spans="1:72" x14ac:dyDescent="0.15">
      <c r="A144" t="s">
        <v>72</v>
      </c>
      <c r="B144" t="s">
        <v>2212</v>
      </c>
      <c r="C144" t="s">
        <v>74</v>
      </c>
      <c r="D144" t="s">
        <v>74</v>
      </c>
      <c r="E144" t="s">
        <v>74</v>
      </c>
      <c r="F144" t="s">
        <v>2212</v>
      </c>
      <c r="G144" t="s">
        <v>74</v>
      </c>
      <c r="H144" t="s">
        <v>74</v>
      </c>
      <c r="I144" t="s">
        <v>2213</v>
      </c>
      <c r="J144" t="s">
        <v>2214</v>
      </c>
      <c r="K144" t="s">
        <v>74</v>
      </c>
      <c r="L144" t="s">
        <v>74</v>
      </c>
      <c r="M144" t="s">
        <v>77</v>
      </c>
      <c r="N144" t="s">
        <v>120</v>
      </c>
      <c r="O144" t="s">
        <v>74</v>
      </c>
      <c r="P144" t="s">
        <v>74</v>
      </c>
      <c r="Q144" t="s">
        <v>74</v>
      </c>
      <c r="R144" t="s">
        <v>74</v>
      </c>
      <c r="S144" t="s">
        <v>74</v>
      </c>
      <c r="T144" t="s">
        <v>2215</v>
      </c>
      <c r="U144" t="s">
        <v>2216</v>
      </c>
      <c r="V144" t="s">
        <v>2217</v>
      </c>
      <c r="W144" t="s">
        <v>2218</v>
      </c>
      <c r="X144" t="s">
        <v>2219</v>
      </c>
      <c r="Y144" t="s">
        <v>2220</v>
      </c>
      <c r="Z144" t="s">
        <v>74</v>
      </c>
      <c r="AA144" t="s">
        <v>2221</v>
      </c>
      <c r="AB144" t="s">
        <v>2222</v>
      </c>
      <c r="AC144" t="s">
        <v>74</v>
      </c>
      <c r="AD144" t="s">
        <v>74</v>
      </c>
      <c r="AE144" t="s">
        <v>74</v>
      </c>
      <c r="AF144" t="s">
        <v>74</v>
      </c>
      <c r="AG144">
        <v>34</v>
      </c>
      <c r="AH144">
        <v>123</v>
      </c>
      <c r="AI144">
        <v>140</v>
      </c>
      <c r="AJ144">
        <v>3</v>
      </c>
      <c r="AK144">
        <v>52</v>
      </c>
      <c r="AL144" t="s">
        <v>2223</v>
      </c>
      <c r="AM144" t="s">
        <v>2224</v>
      </c>
      <c r="AN144" t="s">
        <v>2225</v>
      </c>
      <c r="AO144" t="s">
        <v>2226</v>
      </c>
      <c r="AP144" t="s">
        <v>74</v>
      </c>
      <c r="AQ144" t="s">
        <v>74</v>
      </c>
      <c r="AR144" t="s">
        <v>2227</v>
      </c>
      <c r="AS144" t="s">
        <v>2228</v>
      </c>
      <c r="AT144" t="s">
        <v>2079</v>
      </c>
      <c r="AU144">
        <v>2001</v>
      </c>
      <c r="AV144">
        <v>62</v>
      </c>
      <c r="AW144" t="s">
        <v>2229</v>
      </c>
      <c r="AX144" t="s">
        <v>74</v>
      </c>
      <c r="AY144" t="s">
        <v>74</v>
      </c>
      <c r="AZ144" t="s">
        <v>74</v>
      </c>
      <c r="BA144" t="s">
        <v>74</v>
      </c>
      <c r="BB144">
        <v>87</v>
      </c>
      <c r="BC144">
        <v>96</v>
      </c>
      <c r="BD144" t="s">
        <v>74</v>
      </c>
      <c r="BE144" t="s">
        <v>2230</v>
      </c>
      <c r="BF144" t="str">
        <f>HYPERLINK("http://dx.doi.org/10.1023/A:1011873111454","http://dx.doi.org/10.1023/A:1011873111454")</f>
        <v>http://dx.doi.org/10.1023/A:1011873111454</v>
      </c>
      <c r="BG144" t="s">
        <v>74</v>
      </c>
      <c r="BH144" t="s">
        <v>74</v>
      </c>
      <c r="BI144">
        <v>10</v>
      </c>
      <c r="BJ144" t="s">
        <v>429</v>
      </c>
      <c r="BK144" t="s">
        <v>88</v>
      </c>
      <c r="BL144" t="s">
        <v>89</v>
      </c>
      <c r="BM144" t="s">
        <v>2231</v>
      </c>
      <c r="BN144" t="s">
        <v>74</v>
      </c>
      <c r="BO144" t="s">
        <v>74</v>
      </c>
      <c r="BP144" t="s">
        <v>74</v>
      </c>
      <c r="BQ144" t="s">
        <v>74</v>
      </c>
      <c r="BR144" t="s">
        <v>91</v>
      </c>
      <c r="BS144" t="s">
        <v>2232</v>
      </c>
      <c r="BT144" t="str">
        <f>HYPERLINK("https%3A%2F%2Fwww.webofscience.com%2Fwos%2Fwoscc%2Ffull-record%2FWOS:000170993700005","View Full Record in Web of Science")</f>
        <v>View Full Record in Web of Science</v>
      </c>
    </row>
    <row r="145" spans="1:72" x14ac:dyDescent="0.15">
      <c r="A145" t="s">
        <v>72</v>
      </c>
      <c r="B145" t="s">
        <v>2233</v>
      </c>
      <c r="C145" t="s">
        <v>74</v>
      </c>
      <c r="D145" t="s">
        <v>74</v>
      </c>
      <c r="E145" t="s">
        <v>74</v>
      </c>
      <c r="F145" t="s">
        <v>2233</v>
      </c>
      <c r="G145" t="s">
        <v>74</v>
      </c>
      <c r="H145" t="s">
        <v>74</v>
      </c>
      <c r="I145" t="s">
        <v>2234</v>
      </c>
      <c r="J145" t="s">
        <v>2235</v>
      </c>
      <c r="K145" t="s">
        <v>74</v>
      </c>
      <c r="L145" t="s">
        <v>74</v>
      </c>
      <c r="M145" t="s">
        <v>77</v>
      </c>
      <c r="N145" t="s">
        <v>120</v>
      </c>
      <c r="O145" t="s">
        <v>74</v>
      </c>
      <c r="P145" t="s">
        <v>74</v>
      </c>
      <c r="Q145" t="s">
        <v>74</v>
      </c>
      <c r="R145" t="s">
        <v>74</v>
      </c>
      <c r="S145" t="s">
        <v>74</v>
      </c>
      <c r="T145" t="s">
        <v>2236</v>
      </c>
      <c r="U145" t="s">
        <v>2237</v>
      </c>
      <c r="V145" t="s">
        <v>2238</v>
      </c>
      <c r="W145" t="s">
        <v>2239</v>
      </c>
      <c r="X145" t="s">
        <v>2240</v>
      </c>
      <c r="Y145" t="s">
        <v>2241</v>
      </c>
      <c r="Z145" t="s">
        <v>74</v>
      </c>
      <c r="AA145" t="s">
        <v>2242</v>
      </c>
      <c r="AB145" t="s">
        <v>2243</v>
      </c>
      <c r="AC145" t="s">
        <v>74</v>
      </c>
      <c r="AD145" t="s">
        <v>74</v>
      </c>
      <c r="AE145" t="s">
        <v>74</v>
      </c>
      <c r="AF145" t="s">
        <v>74</v>
      </c>
      <c r="AG145">
        <v>28</v>
      </c>
      <c r="AH145">
        <v>32</v>
      </c>
      <c r="AI145">
        <v>34</v>
      </c>
      <c r="AJ145">
        <v>0</v>
      </c>
      <c r="AK145">
        <v>2</v>
      </c>
      <c r="AL145" t="s">
        <v>1080</v>
      </c>
      <c r="AM145" t="s">
        <v>80</v>
      </c>
      <c r="AN145" t="s">
        <v>1081</v>
      </c>
      <c r="AO145" t="s">
        <v>2244</v>
      </c>
      <c r="AP145" t="s">
        <v>74</v>
      </c>
      <c r="AQ145" t="s">
        <v>74</v>
      </c>
      <c r="AR145" t="s">
        <v>2245</v>
      </c>
      <c r="AS145" t="s">
        <v>2246</v>
      </c>
      <c r="AT145" t="s">
        <v>2079</v>
      </c>
      <c r="AU145">
        <v>2001</v>
      </c>
      <c r="AV145">
        <v>268</v>
      </c>
      <c r="AW145">
        <v>19</v>
      </c>
      <c r="AX145" t="s">
        <v>74</v>
      </c>
      <c r="AY145" t="s">
        <v>74</v>
      </c>
      <c r="AZ145" t="s">
        <v>74</v>
      </c>
      <c r="BA145" t="s">
        <v>74</v>
      </c>
      <c r="BB145">
        <v>5074</v>
      </c>
      <c r="BC145">
        <v>5080</v>
      </c>
      <c r="BD145" t="s">
        <v>74</v>
      </c>
      <c r="BE145" t="s">
        <v>2247</v>
      </c>
      <c r="BF145" t="str">
        <f>HYPERLINK("http://dx.doi.org/10.1046/j.0014-2956.2001.02432.x","http://dx.doi.org/10.1046/j.0014-2956.2001.02432.x")</f>
        <v>http://dx.doi.org/10.1046/j.0014-2956.2001.02432.x</v>
      </c>
      <c r="BG145" t="s">
        <v>74</v>
      </c>
      <c r="BH145" t="s">
        <v>74</v>
      </c>
      <c r="BI145">
        <v>7</v>
      </c>
      <c r="BJ145" t="s">
        <v>2248</v>
      </c>
      <c r="BK145" t="s">
        <v>88</v>
      </c>
      <c r="BL145" t="s">
        <v>2248</v>
      </c>
      <c r="BM145" t="s">
        <v>2249</v>
      </c>
      <c r="BN145">
        <v>11589698</v>
      </c>
      <c r="BO145" t="s">
        <v>171</v>
      </c>
      <c r="BP145" t="s">
        <v>74</v>
      </c>
      <c r="BQ145" t="s">
        <v>74</v>
      </c>
      <c r="BR145" t="s">
        <v>91</v>
      </c>
      <c r="BS145" t="s">
        <v>2250</v>
      </c>
      <c r="BT145" t="str">
        <f>HYPERLINK("https%3A%2F%2Fwww.webofscience.com%2Fwos%2Fwoscc%2Ffull-record%2FWOS:000171584800008","View Full Record in Web of Science")</f>
        <v>View Full Record in Web of Science</v>
      </c>
    </row>
    <row r="146" spans="1:72" x14ac:dyDescent="0.15">
      <c r="A146" t="s">
        <v>72</v>
      </c>
      <c r="B146" t="s">
        <v>2251</v>
      </c>
      <c r="C146" t="s">
        <v>74</v>
      </c>
      <c r="D146" t="s">
        <v>74</v>
      </c>
      <c r="E146" t="s">
        <v>74</v>
      </c>
      <c r="F146" t="s">
        <v>2251</v>
      </c>
      <c r="G146" t="s">
        <v>74</v>
      </c>
      <c r="H146" t="s">
        <v>74</v>
      </c>
      <c r="I146" t="s">
        <v>2252</v>
      </c>
      <c r="J146" t="s">
        <v>2235</v>
      </c>
      <c r="K146" t="s">
        <v>74</v>
      </c>
      <c r="L146" t="s">
        <v>74</v>
      </c>
      <c r="M146" t="s">
        <v>77</v>
      </c>
      <c r="N146" t="s">
        <v>120</v>
      </c>
      <c r="O146" t="s">
        <v>74</v>
      </c>
      <c r="P146" t="s">
        <v>74</v>
      </c>
      <c r="Q146" t="s">
        <v>74</v>
      </c>
      <c r="R146" t="s">
        <v>74</v>
      </c>
      <c r="S146" t="s">
        <v>74</v>
      </c>
      <c r="T146" t="s">
        <v>2253</v>
      </c>
      <c r="U146" t="s">
        <v>2254</v>
      </c>
      <c r="V146" t="s">
        <v>2255</v>
      </c>
      <c r="W146" t="s">
        <v>2256</v>
      </c>
      <c r="X146" t="s">
        <v>2257</v>
      </c>
      <c r="Y146" t="s">
        <v>2258</v>
      </c>
      <c r="Z146" t="s">
        <v>2259</v>
      </c>
      <c r="AA146" t="s">
        <v>2260</v>
      </c>
      <c r="AB146" t="s">
        <v>2261</v>
      </c>
      <c r="AC146" t="s">
        <v>74</v>
      </c>
      <c r="AD146" t="s">
        <v>74</v>
      </c>
      <c r="AE146" t="s">
        <v>74</v>
      </c>
      <c r="AF146" t="s">
        <v>74</v>
      </c>
      <c r="AG146">
        <v>16</v>
      </c>
      <c r="AH146">
        <v>29</v>
      </c>
      <c r="AI146">
        <v>30</v>
      </c>
      <c r="AJ146">
        <v>0</v>
      </c>
      <c r="AK146">
        <v>4</v>
      </c>
      <c r="AL146" t="s">
        <v>1247</v>
      </c>
      <c r="AM146" t="s">
        <v>1248</v>
      </c>
      <c r="AN146" t="s">
        <v>1249</v>
      </c>
      <c r="AO146" t="s">
        <v>2244</v>
      </c>
      <c r="AP146" t="s">
        <v>74</v>
      </c>
      <c r="AQ146" t="s">
        <v>74</v>
      </c>
      <c r="AR146" t="s">
        <v>2245</v>
      </c>
      <c r="AS146" t="s">
        <v>2246</v>
      </c>
      <c r="AT146" t="s">
        <v>2079</v>
      </c>
      <c r="AU146">
        <v>2001</v>
      </c>
      <c r="AV146">
        <v>268</v>
      </c>
      <c r="AW146">
        <v>19</v>
      </c>
      <c r="AX146" t="s">
        <v>74</v>
      </c>
      <c r="AY146" t="s">
        <v>74</v>
      </c>
      <c r="AZ146" t="s">
        <v>74</v>
      </c>
      <c r="BA146" t="s">
        <v>74</v>
      </c>
      <c r="BB146">
        <v>5092</v>
      </c>
      <c r="BC146">
        <v>5097</v>
      </c>
      <c r="BD146" t="s">
        <v>74</v>
      </c>
      <c r="BE146" t="s">
        <v>2262</v>
      </c>
      <c r="BF146" t="str">
        <f>HYPERLINK("http://dx.doi.org/10.1046/j.0014-2956.2001.02435.x","http://dx.doi.org/10.1046/j.0014-2956.2001.02435.x")</f>
        <v>http://dx.doi.org/10.1046/j.0014-2956.2001.02435.x</v>
      </c>
      <c r="BG146" t="s">
        <v>74</v>
      </c>
      <c r="BH146" t="s">
        <v>74</v>
      </c>
      <c r="BI146">
        <v>6</v>
      </c>
      <c r="BJ146" t="s">
        <v>2248</v>
      </c>
      <c r="BK146" t="s">
        <v>88</v>
      </c>
      <c r="BL146" t="s">
        <v>2248</v>
      </c>
      <c r="BM146" t="s">
        <v>2249</v>
      </c>
      <c r="BN146">
        <v>11589700</v>
      </c>
      <c r="BO146" t="s">
        <v>171</v>
      </c>
      <c r="BP146" t="s">
        <v>74</v>
      </c>
      <c r="BQ146" t="s">
        <v>74</v>
      </c>
      <c r="BR146" t="s">
        <v>91</v>
      </c>
      <c r="BS146" t="s">
        <v>2263</v>
      </c>
      <c r="BT146" t="str">
        <f>HYPERLINK("https%3A%2F%2Fwww.webofscience.com%2Fwos%2Fwoscc%2Ffull-record%2FWOS:000171584800010","View Full Record in Web of Science")</f>
        <v>View Full Record in Web of Science</v>
      </c>
    </row>
    <row r="147" spans="1:72" x14ac:dyDescent="0.15">
      <c r="A147" t="s">
        <v>72</v>
      </c>
      <c r="B147" t="s">
        <v>2264</v>
      </c>
      <c r="C147" t="s">
        <v>74</v>
      </c>
      <c r="D147" t="s">
        <v>74</v>
      </c>
      <c r="E147" t="s">
        <v>74</v>
      </c>
      <c r="F147" t="s">
        <v>2264</v>
      </c>
      <c r="G147" t="s">
        <v>74</v>
      </c>
      <c r="H147" t="s">
        <v>74</v>
      </c>
      <c r="I147" t="s">
        <v>2265</v>
      </c>
      <c r="J147" t="s">
        <v>2266</v>
      </c>
      <c r="K147" t="s">
        <v>74</v>
      </c>
      <c r="L147" t="s">
        <v>74</v>
      </c>
      <c r="M147" t="s">
        <v>77</v>
      </c>
      <c r="N147" t="s">
        <v>120</v>
      </c>
      <c r="O147" t="s">
        <v>74</v>
      </c>
      <c r="P147" t="s">
        <v>74</v>
      </c>
      <c r="Q147" t="s">
        <v>74</v>
      </c>
      <c r="R147" t="s">
        <v>74</v>
      </c>
      <c r="S147" t="s">
        <v>74</v>
      </c>
      <c r="T147" t="s">
        <v>2267</v>
      </c>
      <c r="U147" t="s">
        <v>2268</v>
      </c>
      <c r="V147" t="s">
        <v>2269</v>
      </c>
      <c r="W147" t="s">
        <v>2270</v>
      </c>
      <c r="X147" t="s">
        <v>2271</v>
      </c>
      <c r="Y147" t="s">
        <v>2272</v>
      </c>
      <c r="Z147" t="s">
        <v>2273</v>
      </c>
      <c r="AA147" t="s">
        <v>74</v>
      </c>
      <c r="AB147" t="s">
        <v>74</v>
      </c>
      <c r="AC147" t="s">
        <v>74</v>
      </c>
      <c r="AD147" t="s">
        <v>74</v>
      </c>
      <c r="AE147" t="s">
        <v>74</v>
      </c>
      <c r="AF147" t="s">
        <v>74</v>
      </c>
      <c r="AG147">
        <v>49</v>
      </c>
      <c r="AH147">
        <v>36</v>
      </c>
      <c r="AI147">
        <v>52</v>
      </c>
      <c r="AJ147">
        <v>0</v>
      </c>
      <c r="AK147">
        <v>10</v>
      </c>
      <c r="AL147" t="s">
        <v>1247</v>
      </c>
      <c r="AM147" t="s">
        <v>1248</v>
      </c>
      <c r="AN147" t="s">
        <v>1249</v>
      </c>
      <c r="AO147" t="s">
        <v>2274</v>
      </c>
      <c r="AP147" t="s">
        <v>2275</v>
      </c>
      <c r="AQ147" t="s">
        <v>74</v>
      </c>
      <c r="AR147" t="s">
        <v>2276</v>
      </c>
      <c r="AS147" t="s">
        <v>2277</v>
      </c>
      <c r="AT147" t="s">
        <v>2079</v>
      </c>
      <c r="AU147">
        <v>2001</v>
      </c>
      <c r="AV147">
        <v>109</v>
      </c>
      <c r="AW147">
        <v>5</v>
      </c>
      <c r="AX147" t="s">
        <v>74</v>
      </c>
      <c r="AY147" t="s">
        <v>74</v>
      </c>
      <c r="AZ147" t="s">
        <v>74</v>
      </c>
      <c r="BA147" t="s">
        <v>74</v>
      </c>
      <c r="BB147">
        <v>316</v>
      </c>
      <c r="BC147">
        <v>324</v>
      </c>
      <c r="BD147" t="s">
        <v>74</v>
      </c>
      <c r="BE147" t="s">
        <v>74</v>
      </c>
      <c r="BF147" t="s">
        <v>74</v>
      </c>
      <c r="BG147" t="s">
        <v>74</v>
      </c>
      <c r="BH147" t="s">
        <v>74</v>
      </c>
      <c r="BI147">
        <v>9</v>
      </c>
      <c r="BJ147" t="s">
        <v>2278</v>
      </c>
      <c r="BK147" t="s">
        <v>88</v>
      </c>
      <c r="BL147" t="s">
        <v>2278</v>
      </c>
      <c r="BM147" t="s">
        <v>2279</v>
      </c>
      <c r="BN147">
        <v>11695752</v>
      </c>
      <c r="BO147" t="s">
        <v>74</v>
      </c>
      <c r="BP147" t="s">
        <v>74</v>
      </c>
      <c r="BQ147" t="s">
        <v>74</v>
      </c>
      <c r="BR147" t="s">
        <v>91</v>
      </c>
      <c r="BS147" t="s">
        <v>2280</v>
      </c>
      <c r="BT147" t="str">
        <f>HYPERLINK("https%3A%2F%2Fwww.webofscience.com%2Fwos%2Fwoscc%2Ffull-record%2FWOS:000171699000005","View Full Record in Web of Science")</f>
        <v>View Full Record in Web of Science</v>
      </c>
    </row>
    <row r="148" spans="1:72" x14ac:dyDescent="0.15">
      <c r="A148" t="s">
        <v>72</v>
      </c>
      <c r="B148" t="s">
        <v>2281</v>
      </c>
      <c r="C148" t="s">
        <v>74</v>
      </c>
      <c r="D148" t="s">
        <v>74</v>
      </c>
      <c r="E148" t="s">
        <v>74</v>
      </c>
      <c r="F148" t="s">
        <v>2281</v>
      </c>
      <c r="G148" t="s">
        <v>74</v>
      </c>
      <c r="H148" t="s">
        <v>74</v>
      </c>
      <c r="I148" t="s">
        <v>2282</v>
      </c>
      <c r="J148" t="s">
        <v>2283</v>
      </c>
      <c r="K148" t="s">
        <v>74</v>
      </c>
      <c r="L148" t="s">
        <v>74</v>
      </c>
      <c r="M148" t="s">
        <v>77</v>
      </c>
      <c r="N148" t="s">
        <v>435</v>
      </c>
      <c r="O148" t="s">
        <v>2284</v>
      </c>
      <c r="P148">
        <v>2000</v>
      </c>
      <c r="Q148" t="s">
        <v>2285</v>
      </c>
      <c r="R148" t="s">
        <v>74</v>
      </c>
      <c r="S148" t="s">
        <v>74</v>
      </c>
      <c r="T148" t="s">
        <v>2286</v>
      </c>
      <c r="U148" t="s">
        <v>2287</v>
      </c>
      <c r="V148" t="s">
        <v>2288</v>
      </c>
      <c r="W148" t="s">
        <v>2289</v>
      </c>
      <c r="X148" t="s">
        <v>2290</v>
      </c>
      <c r="Y148" t="s">
        <v>2291</v>
      </c>
      <c r="Z148" t="s">
        <v>74</v>
      </c>
      <c r="AA148" t="s">
        <v>2292</v>
      </c>
      <c r="AB148" t="s">
        <v>2293</v>
      </c>
      <c r="AC148" t="s">
        <v>74</v>
      </c>
      <c r="AD148" t="s">
        <v>74</v>
      </c>
      <c r="AE148" t="s">
        <v>74</v>
      </c>
      <c r="AF148" t="s">
        <v>74</v>
      </c>
      <c r="AG148">
        <v>78</v>
      </c>
      <c r="AH148">
        <v>50</v>
      </c>
      <c r="AI148">
        <v>65</v>
      </c>
      <c r="AJ148">
        <v>1</v>
      </c>
      <c r="AK148">
        <v>18</v>
      </c>
      <c r="AL148" t="s">
        <v>203</v>
      </c>
      <c r="AM148" t="s">
        <v>204</v>
      </c>
      <c r="AN148" t="s">
        <v>205</v>
      </c>
      <c r="AO148" t="s">
        <v>2294</v>
      </c>
      <c r="AP148" t="s">
        <v>74</v>
      </c>
      <c r="AQ148" t="s">
        <v>74</v>
      </c>
      <c r="AR148" t="s">
        <v>2283</v>
      </c>
      <c r="AS148" t="s">
        <v>2295</v>
      </c>
      <c r="AT148" t="s">
        <v>2079</v>
      </c>
      <c r="AU148">
        <v>2001</v>
      </c>
      <c r="AV148">
        <v>5</v>
      </c>
      <c r="AW148">
        <v>5</v>
      </c>
      <c r="AX148" t="s">
        <v>74</v>
      </c>
      <c r="AY148" t="s">
        <v>74</v>
      </c>
      <c r="AZ148" t="s">
        <v>74</v>
      </c>
      <c r="BA148" t="s">
        <v>74</v>
      </c>
      <c r="BB148">
        <v>313</v>
      </c>
      <c r="BC148">
        <v>321</v>
      </c>
      <c r="BD148" t="s">
        <v>74</v>
      </c>
      <c r="BE148" t="s">
        <v>2296</v>
      </c>
      <c r="BF148" t="str">
        <f>HYPERLINK("http://dx.doi.org/10.1007/s007920100207","http://dx.doi.org/10.1007/s007920100207")</f>
        <v>http://dx.doi.org/10.1007/s007920100207</v>
      </c>
      <c r="BG148" t="s">
        <v>74</v>
      </c>
      <c r="BH148" t="s">
        <v>74</v>
      </c>
      <c r="BI148">
        <v>9</v>
      </c>
      <c r="BJ148" t="s">
        <v>2297</v>
      </c>
      <c r="BK148" t="s">
        <v>453</v>
      </c>
      <c r="BL148" t="s">
        <v>2297</v>
      </c>
      <c r="BM148" t="s">
        <v>2298</v>
      </c>
      <c r="BN148">
        <v>11699645</v>
      </c>
      <c r="BO148" t="s">
        <v>74</v>
      </c>
      <c r="BP148" t="s">
        <v>74</v>
      </c>
      <c r="BQ148" t="s">
        <v>74</v>
      </c>
      <c r="BR148" t="s">
        <v>91</v>
      </c>
      <c r="BS148" t="s">
        <v>2299</v>
      </c>
      <c r="BT148" t="str">
        <f>HYPERLINK("https%3A%2F%2Fwww.webofscience.com%2Fwos%2Fwoscc%2Ffull-record%2FWOS:000171651900004","View Full Record in Web of Science")</f>
        <v>View Full Record in Web of Science</v>
      </c>
    </row>
    <row r="149" spans="1:72" x14ac:dyDescent="0.15">
      <c r="A149" t="s">
        <v>72</v>
      </c>
      <c r="B149" t="s">
        <v>2300</v>
      </c>
      <c r="C149" t="s">
        <v>74</v>
      </c>
      <c r="D149" t="s">
        <v>74</v>
      </c>
      <c r="E149" t="s">
        <v>74</v>
      </c>
      <c r="F149" t="s">
        <v>2300</v>
      </c>
      <c r="G149" t="s">
        <v>74</v>
      </c>
      <c r="H149" t="s">
        <v>74</v>
      </c>
      <c r="I149" t="s">
        <v>2301</v>
      </c>
      <c r="J149" t="s">
        <v>2302</v>
      </c>
      <c r="K149" t="s">
        <v>74</v>
      </c>
      <c r="L149" t="s">
        <v>74</v>
      </c>
      <c r="M149" t="s">
        <v>77</v>
      </c>
      <c r="N149" t="s">
        <v>120</v>
      </c>
      <c r="O149" t="s">
        <v>74</v>
      </c>
      <c r="P149" t="s">
        <v>74</v>
      </c>
      <c r="Q149" t="s">
        <v>74</v>
      </c>
      <c r="R149" t="s">
        <v>74</v>
      </c>
      <c r="S149" t="s">
        <v>74</v>
      </c>
      <c r="T149" t="s">
        <v>2303</v>
      </c>
      <c r="U149" t="s">
        <v>2304</v>
      </c>
      <c r="V149" t="s">
        <v>2305</v>
      </c>
      <c r="W149" t="s">
        <v>2306</v>
      </c>
      <c r="X149" t="s">
        <v>2307</v>
      </c>
      <c r="Y149" t="s">
        <v>2308</v>
      </c>
      <c r="Z149" t="s">
        <v>74</v>
      </c>
      <c r="AA149" t="s">
        <v>2309</v>
      </c>
      <c r="AB149" t="s">
        <v>2310</v>
      </c>
      <c r="AC149" t="s">
        <v>74</v>
      </c>
      <c r="AD149" t="s">
        <v>74</v>
      </c>
      <c r="AE149" t="s">
        <v>74</v>
      </c>
      <c r="AF149" t="s">
        <v>74</v>
      </c>
      <c r="AG149">
        <v>38</v>
      </c>
      <c r="AH149">
        <v>62</v>
      </c>
      <c r="AI149">
        <v>66</v>
      </c>
      <c r="AJ149">
        <v>0</v>
      </c>
      <c r="AK149">
        <v>13</v>
      </c>
      <c r="AL149" t="s">
        <v>2311</v>
      </c>
      <c r="AM149" t="s">
        <v>792</v>
      </c>
      <c r="AN149" t="s">
        <v>2312</v>
      </c>
      <c r="AO149" t="s">
        <v>2313</v>
      </c>
      <c r="AP149" t="s">
        <v>2314</v>
      </c>
      <c r="AQ149" t="s">
        <v>74</v>
      </c>
      <c r="AR149" t="s">
        <v>2302</v>
      </c>
      <c r="AS149" t="s">
        <v>113</v>
      </c>
      <c r="AT149" t="s">
        <v>2079</v>
      </c>
      <c r="AU149">
        <v>2001</v>
      </c>
      <c r="AV149">
        <v>29</v>
      </c>
      <c r="AW149">
        <v>10</v>
      </c>
      <c r="AX149" t="s">
        <v>74</v>
      </c>
      <c r="AY149" t="s">
        <v>74</v>
      </c>
      <c r="AZ149" t="s">
        <v>74</v>
      </c>
      <c r="BA149" t="s">
        <v>74</v>
      </c>
      <c r="BB149">
        <v>923</v>
      </c>
      <c r="BC149">
        <v>926</v>
      </c>
      <c r="BD149" t="s">
        <v>74</v>
      </c>
      <c r="BE149" t="s">
        <v>2315</v>
      </c>
      <c r="BF149" t="str">
        <f>HYPERLINK("http://dx.doi.org/10.1130/0091-7613(2001)029&lt;0923:MOMSID&gt;2.0.CO;2","http://dx.doi.org/10.1130/0091-7613(2001)029&lt;0923:MOMSID&gt;2.0.CO;2")</f>
        <v>http://dx.doi.org/10.1130/0091-7613(2001)029&lt;0923:MOMSID&gt;2.0.CO;2</v>
      </c>
      <c r="BG149" t="s">
        <v>74</v>
      </c>
      <c r="BH149" t="s">
        <v>74</v>
      </c>
      <c r="BI149">
        <v>4</v>
      </c>
      <c r="BJ149" t="s">
        <v>113</v>
      </c>
      <c r="BK149" t="s">
        <v>88</v>
      </c>
      <c r="BL149" t="s">
        <v>113</v>
      </c>
      <c r="BM149" t="s">
        <v>2316</v>
      </c>
      <c r="BN149" t="s">
        <v>74</v>
      </c>
      <c r="BO149" t="s">
        <v>74</v>
      </c>
      <c r="BP149" t="s">
        <v>74</v>
      </c>
      <c r="BQ149" t="s">
        <v>74</v>
      </c>
      <c r="BR149" t="s">
        <v>91</v>
      </c>
      <c r="BS149" t="s">
        <v>2317</v>
      </c>
      <c r="BT149" t="str">
        <f>HYPERLINK("https%3A%2F%2Fwww.webofscience.com%2Fwos%2Fwoscc%2Ffull-record%2FWOS:000171421500013","View Full Record in Web of Science")</f>
        <v>View Full Record in Web of Science</v>
      </c>
    </row>
    <row r="150" spans="1:72" x14ac:dyDescent="0.15">
      <c r="A150" t="s">
        <v>72</v>
      </c>
      <c r="B150" t="s">
        <v>2318</v>
      </c>
      <c r="C150" t="s">
        <v>74</v>
      </c>
      <c r="D150" t="s">
        <v>74</v>
      </c>
      <c r="E150" t="s">
        <v>74</v>
      </c>
      <c r="F150" t="s">
        <v>2318</v>
      </c>
      <c r="G150" t="s">
        <v>74</v>
      </c>
      <c r="H150" t="s">
        <v>74</v>
      </c>
      <c r="I150" t="s">
        <v>2319</v>
      </c>
      <c r="J150" t="s">
        <v>1055</v>
      </c>
      <c r="K150" t="s">
        <v>74</v>
      </c>
      <c r="L150" t="s">
        <v>74</v>
      </c>
      <c r="M150" t="s">
        <v>77</v>
      </c>
      <c r="N150" t="s">
        <v>120</v>
      </c>
      <c r="O150" t="s">
        <v>74</v>
      </c>
      <c r="P150" t="s">
        <v>74</v>
      </c>
      <c r="Q150" t="s">
        <v>74</v>
      </c>
      <c r="R150" t="s">
        <v>74</v>
      </c>
      <c r="S150" t="s">
        <v>74</v>
      </c>
      <c r="T150" t="s">
        <v>2320</v>
      </c>
      <c r="U150" t="s">
        <v>2321</v>
      </c>
      <c r="V150" t="s">
        <v>2322</v>
      </c>
      <c r="W150" t="s">
        <v>2323</v>
      </c>
      <c r="X150" t="s">
        <v>1679</v>
      </c>
      <c r="Y150" t="s">
        <v>74</v>
      </c>
      <c r="Z150" t="s">
        <v>2324</v>
      </c>
      <c r="AA150" t="s">
        <v>74</v>
      </c>
      <c r="AB150" t="s">
        <v>74</v>
      </c>
      <c r="AC150" t="s">
        <v>74</v>
      </c>
      <c r="AD150" t="s">
        <v>74</v>
      </c>
      <c r="AE150" t="s">
        <v>74</v>
      </c>
      <c r="AF150" t="s">
        <v>74</v>
      </c>
      <c r="AG150">
        <v>68</v>
      </c>
      <c r="AH150">
        <v>27</v>
      </c>
      <c r="AI150">
        <v>34</v>
      </c>
      <c r="AJ150">
        <v>0</v>
      </c>
      <c r="AK150">
        <v>6</v>
      </c>
      <c r="AL150" t="s">
        <v>273</v>
      </c>
      <c r="AM150" t="s">
        <v>80</v>
      </c>
      <c r="AN150" t="s">
        <v>274</v>
      </c>
      <c r="AO150" t="s">
        <v>1063</v>
      </c>
      <c r="AP150" t="s">
        <v>1064</v>
      </c>
      <c r="AQ150" t="s">
        <v>74</v>
      </c>
      <c r="AR150" t="s">
        <v>1065</v>
      </c>
      <c r="AS150" t="s">
        <v>1066</v>
      </c>
      <c r="AT150" t="s">
        <v>2079</v>
      </c>
      <c r="AU150">
        <v>2001</v>
      </c>
      <c r="AV150">
        <v>147</v>
      </c>
      <c r="AW150">
        <v>1</v>
      </c>
      <c r="AX150" t="s">
        <v>74</v>
      </c>
      <c r="AY150" t="s">
        <v>74</v>
      </c>
      <c r="AZ150" t="s">
        <v>74</v>
      </c>
      <c r="BA150" t="s">
        <v>74</v>
      </c>
      <c r="BB150">
        <v>105</v>
      </c>
      <c r="BC150">
        <v>122</v>
      </c>
      <c r="BD150" t="s">
        <v>74</v>
      </c>
      <c r="BE150" t="s">
        <v>2325</v>
      </c>
      <c r="BF150" t="str">
        <f>HYPERLINK("http://dx.doi.org/10.1046/j.1365-246X.2001.00517.x","http://dx.doi.org/10.1046/j.1365-246X.2001.00517.x")</f>
        <v>http://dx.doi.org/10.1046/j.1365-246X.2001.00517.x</v>
      </c>
      <c r="BG150" t="s">
        <v>74</v>
      </c>
      <c r="BH150" t="s">
        <v>74</v>
      </c>
      <c r="BI150">
        <v>18</v>
      </c>
      <c r="BJ150" t="s">
        <v>388</v>
      </c>
      <c r="BK150" t="s">
        <v>88</v>
      </c>
      <c r="BL150" t="s">
        <v>388</v>
      </c>
      <c r="BM150" t="s">
        <v>2326</v>
      </c>
      <c r="BN150" t="s">
        <v>74</v>
      </c>
      <c r="BO150" t="s">
        <v>115</v>
      </c>
      <c r="BP150" t="s">
        <v>74</v>
      </c>
      <c r="BQ150" t="s">
        <v>74</v>
      </c>
      <c r="BR150" t="s">
        <v>91</v>
      </c>
      <c r="BS150" t="s">
        <v>2327</v>
      </c>
      <c r="BT150" t="str">
        <f>HYPERLINK("https%3A%2F%2Fwww.webofscience.com%2Fwos%2Fwoscc%2Ffull-record%2FWOS:000171693500010","View Full Record in Web of Science")</f>
        <v>View Full Record in Web of Science</v>
      </c>
    </row>
    <row r="151" spans="1:72" x14ac:dyDescent="0.15">
      <c r="A151" t="s">
        <v>72</v>
      </c>
      <c r="B151" t="s">
        <v>2328</v>
      </c>
      <c r="C151" t="s">
        <v>74</v>
      </c>
      <c r="D151" t="s">
        <v>74</v>
      </c>
      <c r="E151" t="s">
        <v>74</v>
      </c>
      <c r="F151" t="s">
        <v>2328</v>
      </c>
      <c r="G151" t="s">
        <v>74</v>
      </c>
      <c r="H151" t="s">
        <v>74</v>
      </c>
      <c r="I151" t="s">
        <v>2329</v>
      </c>
      <c r="J151" t="s">
        <v>613</v>
      </c>
      <c r="K151" t="s">
        <v>74</v>
      </c>
      <c r="L151" t="s">
        <v>74</v>
      </c>
      <c r="M151" t="s">
        <v>77</v>
      </c>
      <c r="N151" t="s">
        <v>120</v>
      </c>
      <c r="O151" t="s">
        <v>74</v>
      </c>
      <c r="P151" t="s">
        <v>74</v>
      </c>
      <c r="Q151" t="s">
        <v>74</v>
      </c>
      <c r="R151" t="s">
        <v>74</v>
      </c>
      <c r="S151" t="s">
        <v>74</v>
      </c>
      <c r="T151" t="s">
        <v>74</v>
      </c>
      <c r="U151" t="s">
        <v>2330</v>
      </c>
      <c r="V151" t="s">
        <v>2331</v>
      </c>
      <c r="W151" t="s">
        <v>2332</v>
      </c>
      <c r="X151" t="s">
        <v>2333</v>
      </c>
      <c r="Y151" t="s">
        <v>2334</v>
      </c>
      <c r="Z151" t="s">
        <v>74</v>
      </c>
      <c r="AA151" t="s">
        <v>2335</v>
      </c>
      <c r="AB151" t="s">
        <v>2336</v>
      </c>
      <c r="AC151" t="s">
        <v>74</v>
      </c>
      <c r="AD151" t="s">
        <v>74</v>
      </c>
      <c r="AE151" t="s">
        <v>74</v>
      </c>
      <c r="AF151" t="s">
        <v>74</v>
      </c>
      <c r="AG151">
        <v>12</v>
      </c>
      <c r="AH151">
        <v>85</v>
      </c>
      <c r="AI151">
        <v>93</v>
      </c>
      <c r="AJ151">
        <v>1</v>
      </c>
      <c r="AK151">
        <v>15</v>
      </c>
      <c r="AL151" t="s">
        <v>149</v>
      </c>
      <c r="AM151" t="s">
        <v>150</v>
      </c>
      <c r="AN151" t="s">
        <v>151</v>
      </c>
      <c r="AO151" t="s">
        <v>619</v>
      </c>
      <c r="AP151" t="s">
        <v>74</v>
      </c>
      <c r="AQ151" t="s">
        <v>74</v>
      </c>
      <c r="AR151" t="s">
        <v>620</v>
      </c>
      <c r="AS151" t="s">
        <v>621</v>
      </c>
      <c r="AT151" t="s">
        <v>2337</v>
      </c>
      <c r="AU151">
        <v>2001</v>
      </c>
      <c r="AV151">
        <v>28</v>
      </c>
      <c r="AW151">
        <v>19</v>
      </c>
      <c r="AX151" t="s">
        <v>74</v>
      </c>
      <c r="AY151" t="s">
        <v>74</v>
      </c>
      <c r="AZ151" t="s">
        <v>74</v>
      </c>
      <c r="BA151" t="s">
        <v>74</v>
      </c>
      <c r="BB151">
        <v>3629</v>
      </c>
      <c r="BC151">
        <v>3632</v>
      </c>
      <c r="BD151" t="s">
        <v>74</v>
      </c>
      <c r="BE151" t="s">
        <v>2338</v>
      </c>
      <c r="BF151" t="str">
        <f>HYPERLINK("http://dx.doi.org/10.1029/2000GL012711","http://dx.doi.org/10.1029/2000GL012711")</f>
        <v>http://dx.doi.org/10.1029/2000GL012711</v>
      </c>
      <c r="BG151" t="s">
        <v>74</v>
      </c>
      <c r="BH151" t="s">
        <v>74</v>
      </c>
      <c r="BI151">
        <v>4</v>
      </c>
      <c r="BJ151" t="s">
        <v>300</v>
      </c>
      <c r="BK151" t="s">
        <v>88</v>
      </c>
      <c r="BL151" t="s">
        <v>113</v>
      </c>
      <c r="BM151" t="s">
        <v>2339</v>
      </c>
      <c r="BN151" t="s">
        <v>74</v>
      </c>
      <c r="BO151" t="s">
        <v>171</v>
      </c>
      <c r="BP151" t="s">
        <v>74</v>
      </c>
      <c r="BQ151" t="s">
        <v>74</v>
      </c>
      <c r="BR151" t="s">
        <v>91</v>
      </c>
      <c r="BS151" t="s">
        <v>2340</v>
      </c>
      <c r="BT151" t="str">
        <f>HYPERLINK("https%3A%2F%2Fwww.webofscience.com%2Fwos%2Fwoscc%2Ffull-record%2FWOS:000171217300002","View Full Record in Web of Science")</f>
        <v>View Full Record in Web of Science</v>
      </c>
    </row>
    <row r="152" spans="1:72" x14ac:dyDescent="0.15">
      <c r="A152" t="s">
        <v>72</v>
      </c>
      <c r="B152" t="s">
        <v>2341</v>
      </c>
      <c r="C152" t="s">
        <v>74</v>
      </c>
      <c r="D152" t="s">
        <v>74</v>
      </c>
      <c r="E152" t="s">
        <v>74</v>
      </c>
      <c r="F152" t="s">
        <v>2341</v>
      </c>
      <c r="G152" t="s">
        <v>74</v>
      </c>
      <c r="H152" t="s">
        <v>74</v>
      </c>
      <c r="I152" t="s">
        <v>2342</v>
      </c>
      <c r="J152" t="s">
        <v>613</v>
      </c>
      <c r="K152" t="s">
        <v>74</v>
      </c>
      <c r="L152" t="s">
        <v>74</v>
      </c>
      <c r="M152" t="s">
        <v>77</v>
      </c>
      <c r="N152" t="s">
        <v>120</v>
      </c>
      <c r="O152" t="s">
        <v>74</v>
      </c>
      <c r="P152" t="s">
        <v>74</v>
      </c>
      <c r="Q152" t="s">
        <v>74</v>
      </c>
      <c r="R152" t="s">
        <v>74</v>
      </c>
      <c r="S152" t="s">
        <v>74</v>
      </c>
      <c r="T152" t="s">
        <v>74</v>
      </c>
      <c r="U152" t="s">
        <v>2343</v>
      </c>
      <c r="V152" t="s">
        <v>2344</v>
      </c>
      <c r="W152" t="s">
        <v>2345</v>
      </c>
      <c r="X152" t="s">
        <v>2346</v>
      </c>
      <c r="Y152" t="s">
        <v>2347</v>
      </c>
      <c r="Z152" t="s">
        <v>74</v>
      </c>
      <c r="AA152" t="s">
        <v>2348</v>
      </c>
      <c r="AB152" t="s">
        <v>2349</v>
      </c>
      <c r="AC152" t="s">
        <v>74</v>
      </c>
      <c r="AD152" t="s">
        <v>74</v>
      </c>
      <c r="AE152" t="s">
        <v>74</v>
      </c>
      <c r="AF152" t="s">
        <v>74</v>
      </c>
      <c r="AG152">
        <v>14</v>
      </c>
      <c r="AH152">
        <v>80</v>
      </c>
      <c r="AI152">
        <v>93</v>
      </c>
      <c r="AJ152">
        <v>1</v>
      </c>
      <c r="AK152">
        <v>18</v>
      </c>
      <c r="AL152" t="s">
        <v>149</v>
      </c>
      <c r="AM152" t="s">
        <v>150</v>
      </c>
      <c r="AN152" t="s">
        <v>151</v>
      </c>
      <c r="AO152" t="s">
        <v>619</v>
      </c>
      <c r="AP152" t="s">
        <v>74</v>
      </c>
      <c r="AQ152" t="s">
        <v>74</v>
      </c>
      <c r="AR152" t="s">
        <v>620</v>
      </c>
      <c r="AS152" t="s">
        <v>621</v>
      </c>
      <c r="AT152" t="s">
        <v>2337</v>
      </c>
      <c r="AU152">
        <v>2001</v>
      </c>
      <c r="AV152">
        <v>28</v>
      </c>
      <c r="AW152">
        <v>19</v>
      </c>
      <c r="AX152" t="s">
        <v>74</v>
      </c>
      <c r="AY152" t="s">
        <v>74</v>
      </c>
      <c r="AZ152" t="s">
        <v>74</v>
      </c>
      <c r="BA152" t="s">
        <v>74</v>
      </c>
      <c r="BB152">
        <v>3641</v>
      </c>
      <c r="BC152">
        <v>3644</v>
      </c>
      <c r="BD152" t="s">
        <v>74</v>
      </c>
      <c r="BE152" t="s">
        <v>2350</v>
      </c>
      <c r="BF152" t="str">
        <f>HYPERLINK("http://dx.doi.org/10.1029/2001GL013055","http://dx.doi.org/10.1029/2001GL013055")</f>
        <v>http://dx.doi.org/10.1029/2001GL013055</v>
      </c>
      <c r="BG152" t="s">
        <v>74</v>
      </c>
      <c r="BH152" t="s">
        <v>74</v>
      </c>
      <c r="BI152">
        <v>4</v>
      </c>
      <c r="BJ152" t="s">
        <v>300</v>
      </c>
      <c r="BK152" t="s">
        <v>88</v>
      </c>
      <c r="BL152" t="s">
        <v>113</v>
      </c>
      <c r="BM152" t="s">
        <v>2339</v>
      </c>
      <c r="BN152" t="s">
        <v>74</v>
      </c>
      <c r="BO152" t="s">
        <v>74</v>
      </c>
      <c r="BP152" t="s">
        <v>74</v>
      </c>
      <c r="BQ152" t="s">
        <v>74</v>
      </c>
      <c r="BR152" t="s">
        <v>91</v>
      </c>
      <c r="BS152" t="s">
        <v>2351</v>
      </c>
      <c r="BT152" t="str">
        <f>HYPERLINK("https%3A%2F%2Fwww.webofscience.com%2Fwos%2Fwoscc%2Ffull-record%2FWOS:000171217300005","View Full Record in Web of Science")</f>
        <v>View Full Record in Web of Science</v>
      </c>
    </row>
    <row r="153" spans="1:72" x14ac:dyDescent="0.15">
      <c r="A153" t="s">
        <v>72</v>
      </c>
      <c r="B153" t="s">
        <v>2352</v>
      </c>
      <c r="C153" t="s">
        <v>74</v>
      </c>
      <c r="D153" t="s">
        <v>74</v>
      </c>
      <c r="E153" t="s">
        <v>74</v>
      </c>
      <c r="F153" t="s">
        <v>2352</v>
      </c>
      <c r="G153" t="s">
        <v>74</v>
      </c>
      <c r="H153" t="s">
        <v>74</v>
      </c>
      <c r="I153" t="s">
        <v>2353</v>
      </c>
      <c r="J153" t="s">
        <v>613</v>
      </c>
      <c r="K153" t="s">
        <v>74</v>
      </c>
      <c r="L153" t="s">
        <v>74</v>
      </c>
      <c r="M153" t="s">
        <v>77</v>
      </c>
      <c r="N153" t="s">
        <v>120</v>
      </c>
      <c r="O153" t="s">
        <v>74</v>
      </c>
      <c r="P153" t="s">
        <v>74</v>
      </c>
      <c r="Q153" t="s">
        <v>74</v>
      </c>
      <c r="R153" t="s">
        <v>74</v>
      </c>
      <c r="S153" t="s">
        <v>74</v>
      </c>
      <c r="T153" t="s">
        <v>74</v>
      </c>
      <c r="U153" t="s">
        <v>2354</v>
      </c>
      <c r="V153" t="s">
        <v>2355</v>
      </c>
      <c r="W153" t="s">
        <v>2356</v>
      </c>
      <c r="X153" t="s">
        <v>2357</v>
      </c>
      <c r="Y153" t="s">
        <v>2358</v>
      </c>
      <c r="Z153" t="s">
        <v>2359</v>
      </c>
      <c r="AA153" t="s">
        <v>74</v>
      </c>
      <c r="AB153" t="s">
        <v>74</v>
      </c>
      <c r="AC153" t="s">
        <v>74</v>
      </c>
      <c r="AD153" t="s">
        <v>74</v>
      </c>
      <c r="AE153" t="s">
        <v>74</v>
      </c>
      <c r="AF153" t="s">
        <v>74</v>
      </c>
      <c r="AG153">
        <v>26</v>
      </c>
      <c r="AH153">
        <v>40</v>
      </c>
      <c r="AI153">
        <v>42</v>
      </c>
      <c r="AJ153">
        <v>0</v>
      </c>
      <c r="AK153">
        <v>14</v>
      </c>
      <c r="AL153" t="s">
        <v>149</v>
      </c>
      <c r="AM153" t="s">
        <v>150</v>
      </c>
      <c r="AN153" t="s">
        <v>151</v>
      </c>
      <c r="AO153" t="s">
        <v>619</v>
      </c>
      <c r="AP153" t="s">
        <v>1094</v>
      </c>
      <c r="AQ153" t="s">
        <v>74</v>
      </c>
      <c r="AR153" t="s">
        <v>620</v>
      </c>
      <c r="AS153" t="s">
        <v>621</v>
      </c>
      <c r="AT153" t="s">
        <v>2337</v>
      </c>
      <c r="AU153">
        <v>2001</v>
      </c>
      <c r="AV153">
        <v>28</v>
      </c>
      <c r="AW153">
        <v>19</v>
      </c>
      <c r="AX153" t="s">
        <v>74</v>
      </c>
      <c r="AY153" t="s">
        <v>74</v>
      </c>
      <c r="AZ153" t="s">
        <v>74</v>
      </c>
      <c r="BA153" t="s">
        <v>74</v>
      </c>
      <c r="BB153">
        <v>3645</v>
      </c>
      <c r="BC153">
        <v>3648</v>
      </c>
      <c r="BD153" t="s">
        <v>74</v>
      </c>
      <c r="BE153" t="s">
        <v>2360</v>
      </c>
      <c r="BF153" t="str">
        <f>HYPERLINK("http://dx.doi.org/10.1029/2000GL012714","http://dx.doi.org/10.1029/2000GL012714")</f>
        <v>http://dx.doi.org/10.1029/2000GL012714</v>
      </c>
      <c r="BG153" t="s">
        <v>74</v>
      </c>
      <c r="BH153" t="s">
        <v>74</v>
      </c>
      <c r="BI153">
        <v>4</v>
      </c>
      <c r="BJ153" t="s">
        <v>300</v>
      </c>
      <c r="BK153" t="s">
        <v>88</v>
      </c>
      <c r="BL153" t="s">
        <v>113</v>
      </c>
      <c r="BM153" t="s">
        <v>2339</v>
      </c>
      <c r="BN153" t="s">
        <v>74</v>
      </c>
      <c r="BO153" t="s">
        <v>171</v>
      </c>
      <c r="BP153" t="s">
        <v>74</v>
      </c>
      <c r="BQ153" t="s">
        <v>74</v>
      </c>
      <c r="BR153" t="s">
        <v>91</v>
      </c>
      <c r="BS153" t="s">
        <v>2361</v>
      </c>
      <c r="BT153" t="str">
        <f>HYPERLINK("https%3A%2F%2Fwww.webofscience.com%2Fwos%2Fwoscc%2Ffull-record%2FWOS:000171217300006","View Full Record in Web of Science")</f>
        <v>View Full Record in Web of Science</v>
      </c>
    </row>
    <row r="154" spans="1:72" x14ac:dyDescent="0.15">
      <c r="A154" t="s">
        <v>72</v>
      </c>
      <c r="B154" t="s">
        <v>2362</v>
      </c>
      <c r="C154" t="s">
        <v>74</v>
      </c>
      <c r="D154" t="s">
        <v>74</v>
      </c>
      <c r="E154" t="s">
        <v>74</v>
      </c>
      <c r="F154" t="s">
        <v>2362</v>
      </c>
      <c r="G154" t="s">
        <v>74</v>
      </c>
      <c r="H154" t="s">
        <v>74</v>
      </c>
      <c r="I154" t="s">
        <v>2363</v>
      </c>
      <c r="J154" t="s">
        <v>613</v>
      </c>
      <c r="K154" t="s">
        <v>74</v>
      </c>
      <c r="L154" t="s">
        <v>74</v>
      </c>
      <c r="M154" t="s">
        <v>77</v>
      </c>
      <c r="N154" t="s">
        <v>120</v>
      </c>
      <c r="O154" t="s">
        <v>74</v>
      </c>
      <c r="P154" t="s">
        <v>74</v>
      </c>
      <c r="Q154" t="s">
        <v>74</v>
      </c>
      <c r="R154" t="s">
        <v>74</v>
      </c>
      <c r="S154" t="s">
        <v>74</v>
      </c>
      <c r="T154" t="s">
        <v>74</v>
      </c>
      <c r="U154" t="s">
        <v>2364</v>
      </c>
      <c r="V154" t="s">
        <v>2365</v>
      </c>
      <c r="W154" t="s">
        <v>2366</v>
      </c>
      <c r="X154" t="s">
        <v>2367</v>
      </c>
      <c r="Y154" t="s">
        <v>2368</v>
      </c>
      <c r="Z154" t="s">
        <v>2369</v>
      </c>
      <c r="AA154" t="s">
        <v>74</v>
      </c>
      <c r="AB154" t="s">
        <v>2370</v>
      </c>
      <c r="AC154" t="s">
        <v>74</v>
      </c>
      <c r="AD154" t="s">
        <v>74</v>
      </c>
      <c r="AE154" t="s">
        <v>74</v>
      </c>
      <c r="AF154" t="s">
        <v>74</v>
      </c>
      <c r="AG154">
        <v>10</v>
      </c>
      <c r="AH154">
        <v>8</v>
      </c>
      <c r="AI154">
        <v>9</v>
      </c>
      <c r="AJ154">
        <v>0</v>
      </c>
      <c r="AK154">
        <v>4</v>
      </c>
      <c r="AL154" t="s">
        <v>149</v>
      </c>
      <c r="AM154" t="s">
        <v>150</v>
      </c>
      <c r="AN154" t="s">
        <v>151</v>
      </c>
      <c r="AO154" t="s">
        <v>619</v>
      </c>
      <c r="AP154" t="s">
        <v>1094</v>
      </c>
      <c r="AQ154" t="s">
        <v>74</v>
      </c>
      <c r="AR154" t="s">
        <v>620</v>
      </c>
      <c r="AS154" t="s">
        <v>621</v>
      </c>
      <c r="AT154" t="s">
        <v>2337</v>
      </c>
      <c r="AU154">
        <v>2001</v>
      </c>
      <c r="AV154">
        <v>28</v>
      </c>
      <c r="AW154">
        <v>19</v>
      </c>
      <c r="AX154" t="s">
        <v>74</v>
      </c>
      <c r="AY154" t="s">
        <v>74</v>
      </c>
      <c r="AZ154" t="s">
        <v>74</v>
      </c>
      <c r="BA154" t="s">
        <v>74</v>
      </c>
      <c r="BB154">
        <v>3669</v>
      </c>
      <c r="BC154">
        <v>3672</v>
      </c>
      <c r="BD154" t="s">
        <v>74</v>
      </c>
      <c r="BE154" t="s">
        <v>2371</v>
      </c>
      <c r="BF154" t="str">
        <f>HYPERLINK("http://dx.doi.org/10.1029/2001GL013219","http://dx.doi.org/10.1029/2001GL013219")</f>
        <v>http://dx.doi.org/10.1029/2001GL013219</v>
      </c>
      <c r="BG154" t="s">
        <v>74</v>
      </c>
      <c r="BH154" t="s">
        <v>74</v>
      </c>
      <c r="BI154">
        <v>4</v>
      </c>
      <c r="BJ154" t="s">
        <v>300</v>
      </c>
      <c r="BK154" t="s">
        <v>88</v>
      </c>
      <c r="BL154" t="s">
        <v>113</v>
      </c>
      <c r="BM154" t="s">
        <v>2339</v>
      </c>
      <c r="BN154" t="s">
        <v>74</v>
      </c>
      <c r="BO154" t="s">
        <v>171</v>
      </c>
      <c r="BP154" t="s">
        <v>74</v>
      </c>
      <c r="BQ154" t="s">
        <v>74</v>
      </c>
      <c r="BR154" t="s">
        <v>91</v>
      </c>
      <c r="BS154" t="s">
        <v>2372</v>
      </c>
      <c r="BT154" t="str">
        <f>HYPERLINK("https%3A%2F%2Fwww.webofscience.com%2Fwos%2Fwoscc%2Ffull-record%2FWOS:000171217300012","View Full Record in Web of Science")</f>
        <v>View Full Record in Web of Science</v>
      </c>
    </row>
    <row r="155" spans="1:72" x14ac:dyDescent="0.15">
      <c r="A155" t="s">
        <v>72</v>
      </c>
      <c r="B155" t="s">
        <v>2373</v>
      </c>
      <c r="C155" t="s">
        <v>74</v>
      </c>
      <c r="D155" t="s">
        <v>74</v>
      </c>
      <c r="E155" t="s">
        <v>74</v>
      </c>
      <c r="F155" t="s">
        <v>2373</v>
      </c>
      <c r="G155" t="s">
        <v>74</v>
      </c>
      <c r="H155" t="s">
        <v>74</v>
      </c>
      <c r="I155" t="s">
        <v>2374</v>
      </c>
      <c r="J155" t="s">
        <v>613</v>
      </c>
      <c r="K155" t="s">
        <v>74</v>
      </c>
      <c r="L155" t="s">
        <v>74</v>
      </c>
      <c r="M155" t="s">
        <v>77</v>
      </c>
      <c r="N155" t="s">
        <v>120</v>
      </c>
      <c r="O155" t="s">
        <v>74</v>
      </c>
      <c r="P155" t="s">
        <v>74</v>
      </c>
      <c r="Q155" t="s">
        <v>74</v>
      </c>
      <c r="R155" t="s">
        <v>74</v>
      </c>
      <c r="S155" t="s">
        <v>74</v>
      </c>
      <c r="T155" t="s">
        <v>74</v>
      </c>
      <c r="U155" t="s">
        <v>2375</v>
      </c>
      <c r="V155" t="s">
        <v>2376</v>
      </c>
      <c r="W155" t="s">
        <v>2377</v>
      </c>
      <c r="X155" t="s">
        <v>2367</v>
      </c>
      <c r="Y155" t="s">
        <v>2378</v>
      </c>
      <c r="Z155" t="s">
        <v>74</v>
      </c>
      <c r="AA155" t="s">
        <v>2379</v>
      </c>
      <c r="AB155" t="s">
        <v>74</v>
      </c>
      <c r="AC155" t="s">
        <v>74</v>
      </c>
      <c r="AD155" t="s">
        <v>74</v>
      </c>
      <c r="AE155" t="s">
        <v>74</v>
      </c>
      <c r="AF155" t="s">
        <v>74</v>
      </c>
      <c r="AG155">
        <v>13</v>
      </c>
      <c r="AH155">
        <v>4</v>
      </c>
      <c r="AI155">
        <v>4</v>
      </c>
      <c r="AJ155">
        <v>0</v>
      </c>
      <c r="AK155">
        <v>4</v>
      </c>
      <c r="AL155" t="s">
        <v>149</v>
      </c>
      <c r="AM155" t="s">
        <v>150</v>
      </c>
      <c r="AN155" t="s">
        <v>151</v>
      </c>
      <c r="AO155" t="s">
        <v>619</v>
      </c>
      <c r="AP155" t="s">
        <v>74</v>
      </c>
      <c r="AQ155" t="s">
        <v>74</v>
      </c>
      <c r="AR155" t="s">
        <v>620</v>
      </c>
      <c r="AS155" t="s">
        <v>621</v>
      </c>
      <c r="AT155" t="s">
        <v>2337</v>
      </c>
      <c r="AU155">
        <v>2001</v>
      </c>
      <c r="AV155">
        <v>28</v>
      </c>
      <c r="AW155">
        <v>19</v>
      </c>
      <c r="AX155" t="s">
        <v>74</v>
      </c>
      <c r="AY155" t="s">
        <v>74</v>
      </c>
      <c r="AZ155" t="s">
        <v>74</v>
      </c>
      <c r="BA155" t="s">
        <v>74</v>
      </c>
      <c r="BB155">
        <v>3677</v>
      </c>
      <c r="BC155">
        <v>3680</v>
      </c>
      <c r="BD155" t="s">
        <v>74</v>
      </c>
      <c r="BE155" t="s">
        <v>2380</v>
      </c>
      <c r="BF155" t="str">
        <f>HYPERLINK("http://dx.doi.org/10.1029/2001GL012842","http://dx.doi.org/10.1029/2001GL012842")</f>
        <v>http://dx.doi.org/10.1029/2001GL012842</v>
      </c>
      <c r="BG155" t="s">
        <v>74</v>
      </c>
      <c r="BH155" t="s">
        <v>74</v>
      </c>
      <c r="BI155">
        <v>4</v>
      </c>
      <c r="BJ155" t="s">
        <v>300</v>
      </c>
      <c r="BK155" t="s">
        <v>88</v>
      </c>
      <c r="BL155" t="s">
        <v>113</v>
      </c>
      <c r="BM155" t="s">
        <v>2339</v>
      </c>
      <c r="BN155" t="s">
        <v>74</v>
      </c>
      <c r="BO155" t="s">
        <v>171</v>
      </c>
      <c r="BP155" t="s">
        <v>74</v>
      </c>
      <c r="BQ155" t="s">
        <v>74</v>
      </c>
      <c r="BR155" t="s">
        <v>91</v>
      </c>
      <c r="BS155" t="s">
        <v>2381</v>
      </c>
      <c r="BT155" t="str">
        <f>HYPERLINK("https%3A%2F%2Fwww.webofscience.com%2Fwos%2Fwoscc%2Ffull-record%2FWOS:000171217300014","View Full Record in Web of Science")</f>
        <v>View Full Record in Web of Science</v>
      </c>
    </row>
    <row r="156" spans="1:72" x14ac:dyDescent="0.15">
      <c r="A156" t="s">
        <v>72</v>
      </c>
      <c r="B156" t="s">
        <v>2382</v>
      </c>
      <c r="C156" t="s">
        <v>74</v>
      </c>
      <c r="D156" t="s">
        <v>74</v>
      </c>
      <c r="E156" t="s">
        <v>74</v>
      </c>
      <c r="F156" t="s">
        <v>2382</v>
      </c>
      <c r="G156" t="s">
        <v>74</v>
      </c>
      <c r="H156" t="s">
        <v>74</v>
      </c>
      <c r="I156" t="s">
        <v>2383</v>
      </c>
      <c r="J156" t="s">
        <v>613</v>
      </c>
      <c r="K156" t="s">
        <v>74</v>
      </c>
      <c r="L156" t="s">
        <v>74</v>
      </c>
      <c r="M156" t="s">
        <v>77</v>
      </c>
      <c r="N156" t="s">
        <v>120</v>
      </c>
      <c r="O156" t="s">
        <v>74</v>
      </c>
      <c r="P156" t="s">
        <v>74</v>
      </c>
      <c r="Q156" t="s">
        <v>74</v>
      </c>
      <c r="R156" t="s">
        <v>74</v>
      </c>
      <c r="S156" t="s">
        <v>74</v>
      </c>
      <c r="T156" t="s">
        <v>74</v>
      </c>
      <c r="U156" t="s">
        <v>2384</v>
      </c>
      <c r="V156" t="s">
        <v>2385</v>
      </c>
      <c r="W156" t="s">
        <v>461</v>
      </c>
      <c r="X156" t="s">
        <v>462</v>
      </c>
      <c r="Y156" t="s">
        <v>2386</v>
      </c>
      <c r="Z156" t="s">
        <v>74</v>
      </c>
      <c r="AA156" t="s">
        <v>2387</v>
      </c>
      <c r="AB156" t="s">
        <v>2388</v>
      </c>
      <c r="AC156" t="s">
        <v>74</v>
      </c>
      <c r="AD156" t="s">
        <v>74</v>
      </c>
      <c r="AE156" t="s">
        <v>74</v>
      </c>
      <c r="AF156" t="s">
        <v>74</v>
      </c>
      <c r="AG156">
        <v>19</v>
      </c>
      <c r="AH156">
        <v>19</v>
      </c>
      <c r="AI156">
        <v>19</v>
      </c>
      <c r="AJ156">
        <v>0</v>
      </c>
      <c r="AK156">
        <v>2</v>
      </c>
      <c r="AL156" t="s">
        <v>149</v>
      </c>
      <c r="AM156" t="s">
        <v>150</v>
      </c>
      <c r="AN156" t="s">
        <v>151</v>
      </c>
      <c r="AO156" t="s">
        <v>619</v>
      </c>
      <c r="AP156" t="s">
        <v>74</v>
      </c>
      <c r="AQ156" t="s">
        <v>74</v>
      </c>
      <c r="AR156" t="s">
        <v>620</v>
      </c>
      <c r="AS156" t="s">
        <v>621</v>
      </c>
      <c r="AT156" t="s">
        <v>2337</v>
      </c>
      <c r="AU156">
        <v>2001</v>
      </c>
      <c r="AV156">
        <v>28</v>
      </c>
      <c r="AW156">
        <v>19</v>
      </c>
      <c r="AX156" t="s">
        <v>74</v>
      </c>
      <c r="AY156" t="s">
        <v>74</v>
      </c>
      <c r="AZ156" t="s">
        <v>74</v>
      </c>
      <c r="BA156" t="s">
        <v>74</v>
      </c>
      <c r="BB156">
        <v>3681</v>
      </c>
      <c r="BC156">
        <v>3684</v>
      </c>
      <c r="BD156" t="s">
        <v>74</v>
      </c>
      <c r="BE156" t="s">
        <v>2389</v>
      </c>
      <c r="BF156" t="str">
        <f>HYPERLINK("http://dx.doi.org/10.1029/2000GL012666","http://dx.doi.org/10.1029/2000GL012666")</f>
        <v>http://dx.doi.org/10.1029/2000GL012666</v>
      </c>
      <c r="BG156" t="s">
        <v>74</v>
      </c>
      <c r="BH156" t="s">
        <v>74</v>
      </c>
      <c r="BI156">
        <v>4</v>
      </c>
      <c r="BJ156" t="s">
        <v>300</v>
      </c>
      <c r="BK156" t="s">
        <v>88</v>
      </c>
      <c r="BL156" t="s">
        <v>113</v>
      </c>
      <c r="BM156" t="s">
        <v>2339</v>
      </c>
      <c r="BN156" t="s">
        <v>74</v>
      </c>
      <c r="BO156" t="s">
        <v>2390</v>
      </c>
      <c r="BP156" t="s">
        <v>74</v>
      </c>
      <c r="BQ156" t="s">
        <v>74</v>
      </c>
      <c r="BR156" t="s">
        <v>91</v>
      </c>
      <c r="BS156" t="s">
        <v>2391</v>
      </c>
      <c r="BT156" t="str">
        <f>HYPERLINK("https%3A%2F%2Fwww.webofscience.com%2Fwos%2Fwoscc%2Ffull-record%2FWOS:000171217300015","View Full Record in Web of Science")</f>
        <v>View Full Record in Web of Science</v>
      </c>
    </row>
    <row r="157" spans="1:72" x14ac:dyDescent="0.15">
      <c r="A157" t="s">
        <v>72</v>
      </c>
      <c r="B157" t="s">
        <v>2392</v>
      </c>
      <c r="C157" t="s">
        <v>74</v>
      </c>
      <c r="D157" t="s">
        <v>74</v>
      </c>
      <c r="E157" t="s">
        <v>74</v>
      </c>
      <c r="F157" t="s">
        <v>2392</v>
      </c>
      <c r="G157" t="s">
        <v>74</v>
      </c>
      <c r="H157" t="s">
        <v>74</v>
      </c>
      <c r="I157" t="s">
        <v>2393</v>
      </c>
      <c r="J157" t="s">
        <v>613</v>
      </c>
      <c r="K157" t="s">
        <v>74</v>
      </c>
      <c r="L157" t="s">
        <v>74</v>
      </c>
      <c r="M157" t="s">
        <v>77</v>
      </c>
      <c r="N157" t="s">
        <v>120</v>
      </c>
      <c r="O157" t="s">
        <v>74</v>
      </c>
      <c r="P157" t="s">
        <v>74</v>
      </c>
      <c r="Q157" t="s">
        <v>74</v>
      </c>
      <c r="R157" t="s">
        <v>74</v>
      </c>
      <c r="S157" t="s">
        <v>74</v>
      </c>
      <c r="T157" t="s">
        <v>74</v>
      </c>
      <c r="U157" t="s">
        <v>2394</v>
      </c>
      <c r="V157" t="s">
        <v>2395</v>
      </c>
      <c r="W157" t="s">
        <v>2396</v>
      </c>
      <c r="X157" t="s">
        <v>2397</v>
      </c>
      <c r="Y157" t="s">
        <v>2398</v>
      </c>
      <c r="Z157" t="s">
        <v>74</v>
      </c>
      <c r="AA157" t="s">
        <v>74</v>
      </c>
      <c r="AB157" t="s">
        <v>74</v>
      </c>
      <c r="AC157" t="s">
        <v>74</v>
      </c>
      <c r="AD157" t="s">
        <v>74</v>
      </c>
      <c r="AE157" t="s">
        <v>74</v>
      </c>
      <c r="AF157" t="s">
        <v>74</v>
      </c>
      <c r="AG157">
        <v>27</v>
      </c>
      <c r="AH157">
        <v>71</v>
      </c>
      <c r="AI157">
        <v>81</v>
      </c>
      <c r="AJ157">
        <v>0</v>
      </c>
      <c r="AK157">
        <v>5</v>
      </c>
      <c r="AL157" t="s">
        <v>149</v>
      </c>
      <c r="AM157" t="s">
        <v>150</v>
      </c>
      <c r="AN157" t="s">
        <v>151</v>
      </c>
      <c r="AO157" t="s">
        <v>619</v>
      </c>
      <c r="AP157" t="s">
        <v>74</v>
      </c>
      <c r="AQ157" t="s">
        <v>74</v>
      </c>
      <c r="AR157" t="s">
        <v>620</v>
      </c>
      <c r="AS157" t="s">
        <v>621</v>
      </c>
      <c r="AT157" t="s">
        <v>2337</v>
      </c>
      <c r="AU157">
        <v>2001</v>
      </c>
      <c r="AV157">
        <v>28</v>
      </c>
      <c r="AW157">
        <v>19</v>
      </c>
      <c r="AX157" t="s">
        <v>74</v>
      </c>
      <c r="AY157" t="s">
        <v>74</v>
      </c>
      <c r="AZ157" t="s">
        <v>74</v>
      </c>
      <c r="BA157" t="s">
        <v>74</v>
      </c>
      <c r="BB157">
        <v>3697</v>
      </c>
      <c r="BC157">
        <v>3700</v>
      </c>
      <c r="BD157" t="s">
        <v>74</v>
      </c>
      <c r="BE157" t="s">
        <v>2399</v>
      </c>
      <c r="BF157" t="str">
        <f>HYPERLINK("http://dx.doi.org/10.1029/2001GL013376","http://dx.doi.org/10.1029/2001GL013376")</f>
        <v>http://dx.doi.org/10.1029/2001GL013376</v>
      </c>
      <c r="BG157" t="s">
        <v>74</v>
      </c>
      <c r="BH157" t="s">
        <v>74</v>
      </c>
      <c r="BI157">
        <v>4</v>
      </c>
      <c r="BJ157" t="s">
        <v>300</v>
      </c>
      <c r="BK157" t="s">
        <v>88</v>
      </c>
      <c r="BL157" t="s">
        <v>113</v>
      </c>
      <c r="BM157" t="s">
        <v>2339</v>
      </c>
      <c r="BN157" t="s">
        <v>74</v>
      </c>
      <c r="BO157" t="s">
        <v>171</v>
      </c>
      <c r="BP157" t="s">
        <v>74</v>
      </c>
      <c r="BQ157" t="s">
        <v>74</v>
      </c>
      <c r="BR157" t="s">
        <v>91</v>
      </c>
      <c r="BS157" t="s">
        <v>2400</v>
      </c>
      <c r="BT157" t="str">
        <f>HYPERLINK("https%3A%2F%2Fwww.webofscience.com%2Fwos%2Fwoscc%2Ffull-record%2FWOS:000171217300019","View Full Record in Web of Science")</f>
        <v>View Full Record in Web of Science</v>
      </c>
    </row>
    <row r="158" spans="1:72" x14ac:dyDescent="0.15">
      <c r="A158" t="s">
        <v>72</v>
      </c>
      <c r="B158" t="s">
        <v>2401</v>
      </c>
      <c r="C158" t="s">
        <v>74</v>
      </c>
      <c r="D158" t="s">
        <v>74</v>
      </c>
      <c r="E158" t="s">
        <v>74</v>
      </c>
      <c r="F158" t="s">
        <v>2401</v>
      </c>
      <c r="G158" t="s">
        <v>74</v>
      </c>
      <c r="H158" t="s">
        <v>74</v>
      </c>
      <c r="I158" t="s">
        <v>2402</v>
      </c>
      <c r="J158" t="s">
        <v>2403</v>
      </c>
      <c r="K158" t="s">
        <v>74</v>
      </c>
      <c r="L158" t="s">
        <v>74</v>
      </c>
      <c r="M158" t="s">
        <v>77</v>
      </c>
      <c r="N158" t="s">
        <v>120</v>
      </c>
      <c r="O158" t="s">
        <v>74</v>
      </c>
      <c r="P158" t="s">
        <v>74</v>
      </c>
      <c r="Q158" t="s">
        <v>74</v>
      </c>
      <c r="R158" t="s">
        <v>74</v>
      </c>
      <c r="S158" t="s">
        <v>74</v>
      </c>
      <c r="T158" t="s">
        <v>2404</v>
      </c>
      <c r="U158" t="s">
        <v>2405</v>
      </c>
      <c r="V158" t="s">
        <v>2406</v>
      </c>
      <c r="W158" t="s">
        <v>1678</v>
      </c>
      <c r="X158" t="s">
        <v>1679</v>
      </c>
      <c r="Y158" t="s">
        <v>1680</v>
      </c>
      <c r="Z158" t="s">
        <v>2407</v>
      </c>
      <c r="AA158" t="s">
        <v>2408</v>
      </c>
      <c r="AB158" t="s">
        <v>2409</v>
      </c>
      <c r="AC158" t="s">
        <v>74</v>
      </c>
      <c r="AD158" t="s">
        <v>74</v>
      </c>
      <c r="AE158" t="s">
        <v>74</v>
      </c>
      <c r="AF158" t="s">
        <v>74</v>
      </c>
      <c r="AG158">
        <v>82</v>
      </c>
      <c r="AH158">
        <v>93</v>
      </c>
      <c r="AI158">
        <v>108</v>
      </c>
      <c r="AJ158">
        <v>0</v>
      </c>
      <c r="AK158">
        <v>14</v>
      </c>
      <c r="AL158" t="s">
        <v>488</v>
      </c>
      <c r="AM158" t="s">
        <v>350</v>
      </c>
      <c r="AN158" t="s">
        <v>489</v>
      </c>
      <c r="AO158" t="s">
        <v>2410</v>
      </c>
      <c r="AP158" t="s">
        <v>2411</v>
      </c>
      <c r="AQ158" t="s">
        <v>74</v>
      </c>
      <c r="AR158" t="s">
        <v>2412</v>
      </c>
      <c r="AS158" t="s">
        <v>2413</v>
      </c>
      <c r="AT158" t="s">
        <v>2079</v>
      </c>
      <c r="AU158">
        <v>2001</v>
      </c>
      <c r="AV158">
        <v>30</v>
      </c>
      <c r="AW158" t="s">
        <v>451</v>
      </c>
      <c r="AX158" t="s">
        <v>74</v>
      </c>
      <c r="AY158" t="s">
        <v>74</v>
      </c>
      <c r="AZ158" t="s">
        <v>74</v>
      </c>
      <c r="BA158" t="s">
        <v>74</v>
      </c>
      <c r="BB158">
        <v>197</v>
      </c>
      <c r="BC158">
        <v>229</v>
      </c>
      <c r="BD158" t="s">
        <v>74</v>
      </c>
      <c r="BE158" t="s">
        <v>2414</v>
      </c>
      <c r="BF158" t="str">
        <f>HYPERLINK("http://dx.doi.org/10.1016/S0921-8181(01)00102-3","http://dx.doi.org/10.1016/S0921-8181(01)00102-3")</f>
        <v>http://dx.doi.org/10.1016/S0921-8181(01)00102-3</v>
      </c>
      <c r="BG158" t="s">
        <v>74</v>
      </c>
      <c r="BH158" t="s">
        <v>74</v>
      </c>
      <c r="BI158">
        <v>33</v>
      </c>
      <c r="BJ158" t="s">
        <v>1049</v>
      </c>
      <c r="BK158" t="s">
        <v>88</v>
      </c>
      <c r="BL158" t="s">
        <v>1050</v>
      </c>
      <c r="BM158" t="s">
        <v>2415</v>
      </c>
      <c r="BN158" t="s">
        <v>74</v>
      </c>
      <c r="BO158" t="s">
        <v>74</v>
      </c>
      <c r="BP158" t="s">
        <v>74</v>
      </c>
      <c r="BQ158" t="s">
        <v>74</v>
      </c>
      <c r="BR158" t="s">
        <v>91</v>
      </c>
      <c r="BS158" t="s">
        <v>2416</v>
      </c>
      <c r="BT158" t="str">
        <f>HYPERLINK("https%3A%2F%2Fwww.webofscience.com%2Fwos%2Fwoscc%2Ffull-record%2FWOS:000173439700002","View Full Record in Web of Science")</f>
        <v>View Full Record in Web of Science</v>
      </c>
    </row>
    <row r="159" spans="1:72" x14ac:dyDescent="0.15">
      <c r="A159" t="s">
        <v>72</v>
      </c>
      <c r="B159" t="s">
        <v>2417</v>
      </c>
      <c r="C159" t="s">
        <v>74</v>
      </c>
      <c r="D159" t="s">
        <v>74</v>
      </c>
      <c r="E159" t="s">
        <v>74</v>
      </c>
      <c r="F159" t="s">
        <v>2417</v>
      </c>
      <c r="G159" t="s">
        <v>74</v>
      </c>
      <c r="H159" t="s">
        <v>74</v>
      </c>
      <c r="I159" t="s">
        <v>2418</v>
      </c>
      <c r="J159" t="s">
        <v>2403</v>
      </c>
      <c r="K159" t="s">
        <v>74</v>
      </c>
      <c r="L159" t="s">
        <v>74</v>
      </c>
      <c r="M159" t="s">
        <v>77</v>
      </c>
      <c r="N159" t="s">
        <v>120</v>
      </c>
      <c r="O159" t="s">
        <v>74</v>
      </c>
      <c r="P159" t="s">
        <v>74</v>
      </c>
      <c r="Q159" t="s">
        <v>74</v>
      </c>
      <c r="R159" t="s">
        <v>74</v>
      </c>
      <c r="S159" t="s">
        <v>74</v>
      </c>
      <c r="T159" t="s">
        <v>2419</v>
      </c>
      <c r="U159" t="s">
        <v>2420</v>
      </c>
      <c r="V159" t="s">
        <v>2421</v>
      </c>
      <c r="W159" t="s">
        <v>2422</v>
      </c>
      <c r="X159" t="s">
        <v>2423</v>
      </c>
      <c r="Y159" t="s">
        <v>2424</v>
      </c>
      <c r="Z159" t="s">
        <v>2425</v>
      </c>
      <c r="AA159" t="s">
        <v>74</v>
      </c>
      <c r="AB159" t="s">
        <v>2426</v>
      </c>
      <c r="AC159" t="s">
        <v>74</v>
      </c>
      <c r="AD159" t="s">
        <v>74</v>
      </c>
      <c r="AE159" t="s">
        <v>74</v>
      </c>
      <c r="AF159" t="s">
        <v>74</v>
      </c>
      <c r="AG159">
        <v>65</v>
      </c>
      <c r="AH159">
        <v>55</v>
      </c>
      <c r="AI159">
        <v>61</v>
      </c>
      <c r="AJ159">
        <v>0</v>
      </c>
      <c r="AK159">
        <v>29</v>
      </c>
      <c r="AL159" t="s">
        <v>349</v>
      </c>
      <c r="AM159" t="s">
        <v>350</v>
      </c>
      <c r="AN159" t="s">
        <v>351</v>
      </c>
      <c r="AO159" t="s">
        <v>2410</v>
      </c>
      <c r="AP159" t="s">
        <v>2411</v>
      </c>
      <c r="AQ159" t="s">
        <v>74</v>
      </c>
      <c r="AR159" t="s">
        <v>2412</v>
      </c>
      <c r="AS159" t="s">
        <v>2413</v>
      </c>
      <c r="AT159" t="s">
        <v>2079</v>
      </c>
      <c r="AU159">
        <v>2001</v>
      </c>
      <c r="AV159">
        <v>30</v>
      </c>
      <c r="AW159" t="s">
        <v>451</v>
      </c>
      <c r="AX159" t="s">
        <v>74</v>
      </c>
      <c r="AY159" t="s">
        <v>74</v>
      </c>
      <c r="AZ159" t="s">
        <v>74</v>
      </c>
      <c r="BA159" t="s">
        <v>74</v>
      </c>
      <c r="BB159">
        <v>257</v>
      </c>
      <c r="BC159">
        <v>270</v>
      </c>
      <c r="BD159" t="s">
        <v>74</v>
      </c>
      <c r="BE159" t="s">
        <v>2427</v>
      </c>
      <c r="BF159" t="str">
        <f>HYPERLINK("http://dx.doi.org/10.1016/S0921-8181(00)00087-4","http://dx.doi.org/10.1016/S0921-8181(00)00087-4")</f>
        <v>http://dx.doi.org/10.1016/S0921-8181(00)00087-4</v>
      </c>
      <c r="BG159" t="s">
        <v>74</v>
      </c>
      <c r="BH159" t="s">
        <v>74</v>
      </c>
      <c r="BI159">
        <v>14</v>
      </c>
      <c r="BJ159" t="s">
        <v>1049</v>
      </c>
      <c r="BK159" t="s">
        <v>88</v>
      </c>
      <c r="BL159" t="s">
        <v>1050</v>
      </c>
      <c r="BM159" t="s">
        <v>2415</v>
      </c>
      <c r="BN159" t="s">
        <v>74</v>
      </c>
      <c r="BO159" t="s">
        <v>74</v>
      </c>
      <c r="BP159" t="s">
        <v>74</v>
      </c>
      <c r="BQ159" t="s">
        <v>74</v>
      </c>
      <c r="BR159" t="s">
        <v>91</v>
      </c>
      <c r="BS159" t="s">
        <v>2428</v>
      </c>
      <c r="BT159" t="str">
        <f>HYPERLINK("https%3A%2F%2Fwww.webofscience.com%2Fwos%2Fwoscc%2Ffull-record%2FWOS:000173439700004","View Full Record in Web of Science")</f>
        <v>View Full Record in Web of Science</v>
      </c>
    </row>
    <row r="160" spans="1:72" x14ac:dyDescent="0.15">
      <c r="A160" t="s">
        <v>72</v>
      </c>
      <c r="B160" t="s">
        <v>2429</v>
      </c>
      <c r="C160" t="s">
        <v>74</v>
      </c>
      <c r="D160" t="s">
        <v>74</v>
      </c>
      <c r="E160" t="s">
        <v>74</v>
      </c>
      <c r="F160" t="s">
        <v>2429</v>
      </c>
      <c r="G160" t="s">
        <v>74</v>
      </c>
      <c r="H160" t="s">
        <v>2430</v>
      </c>
      <c r="I160" t="s">
        <v>2431</v>
      </c>
      <c r="J160" t="s">
        <v>2432</v>
      </c>
      <c r="K160" t="s">
        <v>74</v>
      </c>
      <c r="L160" t="s">
        <v>74</v>
      </c>
      <c r="M160" t="s">
        <v>77</v>
      </c>
      <c r="N160" t="s">
        <v>435</v>
      </c>
      <c r="O160" t="s">
        <v>2433</v>
      </c>
      <c r="P160" t="s">
        <v>2434</v>
      </c>
      <c r="Q160" t="s">
        <v>2435</v>
      </c>
      <c r="R160" t="s">
        <v>74</v>
      </c>
      <c r="S160" t="s">
        <v>2436</v>
      </c>
      <c r="T160" t="s">
        <v>74</v>
      </c>
      <c r="U160" t="s">
        <v>74</v>
      </c>
      <c r="V160" t="s">
        <v>2437</v>
      </c>
      <c r="W160" t="s">
        <v>2438</v>
      </c>
      <c r="X160" t="s">
        <v>2439</v>
      </c>
      <c r="Y160" t="s">
        <v>2440</v>
      </c>
      <c r="Z160" t="s">
        <v>74</v>
      </c>
      <c r="AA160" t="s">
        <v>2441</v>
      </c>
      <c r="AB160" t="s">
        <v>2442</v>
      </c>
      <c r="AC160" t="s">
        <v>74</v>
      </c>
      <c r="AD160" t="s">
        <v>74</v>
      </c>
      <c r="AE160" t="s">
        <v>74</v>
      </c>
      <c r="AF160" t="s">
        <v>74</v>
      </c>
      <c r="AG160">
        <v>4</v>
      </c>
      <c r="AH160">
        <v>1</v>
      </c>
      <c r="AI160">
        <v>2</v>
      </c>
      <c r="AJ160">
        <v>0</v>
      </c>
      <c r="AK160">
        <v>1</v>
      </c>
      <c r="AL160" t="s">
        <v>2443</v>
      </c>
      <c r="AM160" t="s">
        <v>2444</v>
      </c>
      <c r="AN160" t="s">
        <v>2445</v>
      </c>
      <c r="AO160" t="s">
        <v>2446</v>
      </c>
      <c r="AP160" t="s">
        <v>2447</v>
      </c>
      <c r="AQ160" t="s">
        <v>74</v>
      </c>
      <c r="AR160" t="s">
        <v>2448</v>
      </c>
      <c r="AS160" t="s">
        <v>2449</v>
      </c>
      <c r="AT160" t="s">
        <v>2079</v>
      </c>
      <c r="AU160">
        <v>2001</v>
      </c>
      <c r="AV160">
        <v>16</v>
      </c>
      <c r="AW160" t="s">
        <v>74</v>
      </c>
      <c r="AX160" t="s">
        <v>74</v>
      </c>
      <c r="AY160" t="s">
        <v>2450</v>
      </c>
      <c r="AZ160" t="s">
        <v>74</v>
      </c>
      <c r="BA160" t="s">
        <v>74</v>
      </c>
      <c r="BB160">
        <v>1013</v>
      </c>
      <c r="BC160">
        <v>1015</v>
      </c>
      <c r="BD160" t="s">
        <v>74</v>
      </c>
      <c r="BE160" t="s">
        <v>2451</v>
      </c>
      <c r="BF160" t="str">
        <f>HYPERLINK("http://dx.doi.org/10.1142/S0217751X01008746","http://dx.doi.org/10.1142/S0217751X01008746")</f>
        <v>http://dx.doi.org/10.1142/S0217751X01008746</v>
      </c>
      <c r="BG160" t="s">
        <v>74</v>
      </c>
      <c r="BH160" t="s">
        <v>74</v>
      </c>
      <c r="BI160">
        <v>3</v>
      </c>
      <c r="BJ160" t="s">
        <v>2452</v>
      </c>
      <c r="BK160" t="s">
        <v>816</v>
      </c>
      <c r="BL160" t="s">
        <v>2453</v>
      </c>
      <c r="BM160" t="s">
        <v>2454</v>
      </c>
      <c r="BN160" t="s">
        <v>74</v>
      </c>
      <c r="BO160" t="s">
        <v>74</v>
      </c>
      <c r="BP160" t="s">
        <v>74</v>
      </c>
      <c r="BQ160" t="s">
        <v>74</v>
      </c>
      <c r="BR160" t="s">
        <v>91</v>
      </c>
      <c r="BS160" t="s">
        <v>2455</v>
      </c>
      <c r="BT160" t="str">
        <f>HYPERLINK("https%3A%2F%2Fwww.webofscience.com%2Fwos%2Fwoscc%2Ffull-record%2FWOS:000173465600035","View Full Record in Web of Science")</f>
        <v>View Full Record in Web of Science</v>
      </c>
    </row>
    <row r="161" spans="1:72" x14ac:dyDescent="0.15">
      <c r="A161" t="s">
        <v>72</v>
      </c>
      <c r="B161" t="s">
        <v>2456</v>
      </c>
      <c r="C161" t="s">
        <v>74</v>
      </c>
      <c r="D161" t="s">
        <v>74</v>
      </c>
      <c r="E161" t="s">
        <v>74</v>
      </c>
      <c r="F161" t="s">
        <v>2456</v>
      </c>
      <c r="G161" t="s">
        <v>74</v>
      </c>
      <c r="H161" t="s">
        <v>2457</v>
      </c>
      <c r="I161" t="s">
        <v>2458</v>
      </c>
      <c r="J161" t="s">
        <v>2432</v>
      </c>
      <c r="K161" t="s">
        <v>74</v>
      </c>
      <c r="L161" t="s">
        <v>74</v>
      </c>
      <c r="M161" t="s">
        <v>77</v>
      </c>
      <c r="N161" t="s">
        <v>435</v>
      </c>
      <c r="O161" t="s">
        <v>2433</v>
      </c>
      <c r="P161" t="s">
        <v>2434</v>
      </c>
      <c r="Q161" t="s">
        <v>2459</v>
      </c>
      <c r="R161" t="s">
        <v>74</v>
      </c>
      <c r="S161" t="s">
        <v>2436</v>
      </c>
      <c r="T161" t="s">
        <v>74</v>
      </c>
      <c r="U161" t="s">
        <v>2460</v>
      </c>
      <c r="V161" t="s">
        <v>2461</v>
      </c>
      <c r="W161" t="s">
        <v>2462</v>
      </c>
      <c r="X161" t="s">
        <v>2463</v>
      </c>
      <c r="Y161" t="s">
        <v>2464</v>
      </c>
      <c r="Z161" t="s">
        <v>74</v>
      </c>
      <c r="AA161" t="s">
        <v>74</v>
      </c>
      <c r="AB161" t="s">
        <v>2465</v>
      </c>
      <c r="AC161" t="s">
        <v>74</v>
      </c>
      <c r="AD161" t="s">
        <v>74</v>
      </c>
      <c r="AE161" t="s">
        <v>74</v>
      </c>
      <c r="AF161" t="s">
        <v>74</v>
      </c>
      <c r="AG161">
        <v>3</v>
      </c>
      <c r="AH161">
        <v>2</v>
      </c>
      <c r="AI161">
        <v>2</v>
      </c>
      <c r="AJ161">
        <v>0</v>
      </c>
      <c r="AK161">
        <v>0</v>
      </c>
      <c r="AL161" t="s">
        <v>2443</v>
      </c>
      <c r="AM161" t="s">
        <v>2444</v>
      </c>
      <c r="AN161" t="s">
        <v>2466</v>
      </c>
      <c r="AO161" t="s">
        <v>2446</v>
      </c>
      <c r="AP161" t="s">
        <v>74</v>
      </c>
      <c r="AQ161" t="s">
        <v>74</v>
      </c>
      <c r="AR161" t="s">
        <v>2448</v>
      </c>
      <c r="AS161" t="s">
        <v>2449</v>
      </c>
      <c r="AT161" t="s">
        <v>2079</v>
      </c>
      <c r="AU161">
        <v>2001</v>
      </c>
      <c r="AV161">
        <v>16</v>
      </c>
      <c r="AW161" t="s">
        <v>74</v>
      </c>
      <c r="AX161" t="s">
        <v>74</v>
      </c>
      <c r="AY161" t="s">
        <v>2450</v>
      </c>
      <c r="AZ161" t="s">
        <v>74</v>
      </c>
      <c r="BA161" t="s">
        <v>74</v>
      </c>
      <c r="BB161">
        <v>1016</v>
      </c>
      <c r="BC161">
        <v>1018</v>
      </c>
      <c r="BD161" t="s">
        <v>74</v>
      </c>
      <c r="BE161" t="s">
        <v>2467</v>
      </c>
      <c r="BF161" t="str">
        <f>HYPERLINK("http://dx.doi.org/10.1142/S0217751X01008758","http://dx.doi.org/10.1142/S0217751X01008758")</f>
        <v>http://dx.doi.org/10.1142/S0217751X01008758</v>
      </c>
      <c r="BG161" t="s">
        <v>74</v>
      </c>
      <c r="BH161" t="s">
        <v>74</v>
      </c>
      <c r="BI161">
        <v>3</v>
      </c>
      <c r="BJ161" t="s">
        <v>2452</v>
      </c>
      <c r="BK161" t="s">
        <v>453</v>
      </c>
      <c r="BL161" t="s">
        <v>2453</v>
      </c>
      <c r="BM161" t="s">
        <v>2454</v>
      </c>
      <c r="BN161" t="s">
        <v>74</v>
      </c>
      <c r="BO161" t="s">
        <v>1685</v>
      </c>
      <c r="BP161" t="s">
        <v>74</v>
      </c>
      <c r="BQ161" t="s">
        <v>74</v>
      </c>
      <c r="BR161" t="s">
        <v>91</v>
      </c>
      <c r="BS161" t="s">
        <v>2468</v>
      </c>
      <c r="BT161" t="str">
        <f>HYPERLINK("https%3A%2F%2Fwww.webofscience.com%2Fwos%2Fwoscc%2Ffull-record%2FWOS:000173465600036","View Full Record in Web of Science")</f>
        <v>View Full Record in Web of Science</v>
      </c>
    </row>
    <row r="162" spans="1:72" x14ac:dyDescent="0.15">
      <c r="A162" t="s">
        <v>72</v>
      </c>
      <c r="B162" t="s">
        <v>2469</v>
      </c>
      <c r="C162" t="s">
        <v>74</v>
      </c>
      <c r="D162" t="s">
        <v>74</v>
      </c>
      <c r="E162" t="s">
        <v>74</v>
      </c>
      <c r="F162" t="s">
        <v>2469</v>
      </c>
      <c r="G162" t="s">
        <v>74</v>
      </c>
      <c r="H162" t="s">
        <v>74</v>
      </c>
      <c r="I162" t="s">
        <v>2470</v>
      </c>
      <c r="J162" t="s">
        <v>1201</v>
      </c>
      <c r="K162" t="s">
        <v>74</v>
      </c>
      <c r="L162" t="s">
        <v>74</v>
      </c>
      <c r="M162" t="s">
        <v>77</v>
      </c>
      <c r="N162" t="s">
        <v>120</v>
      </c>
      <c r="O162" t="s">
        <v>74</v>
      </c>
      <c r="P162" t="s">
        <v>74</v>
      </c>
      <c r="Q162" t="s">
        <v>74</v>
      </c>
      <c r="R162" t="s">
        <v>74</v>
      </c>
      <c r="S162" t="s">
        <v>74</v>
      </c>
      <c r="T162" t="s">
        <v>2471</v>
      </c>
      <c r="U162" t="s">
        <v>74</v>
      </c>
      <c r="V162" t="s">
        <v>2472</v>
      </c>
      <c r="W162" t="s">
        <v>2473</v>
      </c>
      <c r="X162" t="s">
        <v>74</v>
      </c>
      <c r="Y162" t="s">
        <v>2474</v>
      </c>
      <c r="Z162" t="s">
        <v>74</v>
      </c>
      <c r="AA162" t="s">
        <v>74</v>
      </c>
      <c r="AB162" t="s">
        <v>74</v>
      </c>
      <c r="AC162" t="s">
        <v>74</v>
      </c>
      <c r="AD162" t="s">
        <v>74</v>
      </c>
      <c r="AE162" t="s">
        <v>74</v>
      </c>
      <c r="AF162" t="s">
        <v>74</v>
      </c>
      <c r="AG162">
        <v>77</v>
      </c>
      <c r="AH162">
        <v>8</v>
      </c>
      <c r="AI162">
        <v>11</v>
      </c>
      <c r="AJ162">
        <v>0</v>
      </c>
      <c r="AK162">
        <v>10</v>
      </c>
      <c r="AL162" t="s">
        <v>79</v>
      </c>
      <c r="AM162" t="s">
        <v>80</v>
      </c>
      <c r="AN162" t="s">
        <v>81</v>
      </c>
      <c r="AO162" t="s">
        <v>1208</v>
      </c>
      <c r="AP162" t="s">
        <v>74</v>
      </c>
      <c r="AQ162" t="s">
        <v>74</v>
      </c>
      <c r="AR162" t="s">
        <v>1209</v>
      </c>
      <c r="AS162" t="s">
        <v>1210</v>
      </c>
      <c r="AT162" t="s">
        <v>2079</v>
      </c>
      <c r="AU162">
        <v>2001</v>
      </c>
      <c r="AV162">
        <v>63</v>
      </c>
      <c r="AW162">
        <v>15</v>
      </c>
      <c r="AX162" t="s">
        <v>74</v>
      </c>
      <c r="AY162" t="s">
        <v>74</v>
      </c>
      <c r="AZ162" t="s">
        <v>74</v>
      </c>
      <c r="BA162" t="s">
        <v>74</v>
      </c>
      <c r="BB162">
        <v>1649</v>
      </c>
      <c r="BC162">
        <v>1660</v>
      </c>
      <c r="BD162" t="s">
        <v>74</v>
      </c>
      <c r="BE162" t="s">
        <v>2475</v>
      </c>
      <c r="BF162" t="str">
        <f>HYPERLINK("http://dx.doi.org/10.1016/S1364-6826(01)00038-4","http://dx.doi.org/10.1016/S1364-6826(01)00038-4")</f>
        <v>http://dx.doi.org/10.1016/S1364-6826(01)00038-4</v>
      </c>
      <c r="BG162" t="s">
        <v>74</v>
      </c>
      <c r="BH162" t="s">
        <v>74</v>
      </c>
      <c r="BI162">
        <v>12</v>
      </c>
      <c r="BJ162" t="s">
        <v>1212</v>
      </c>
      <c r="BK162" t="s">
        <v>88</v>
      </c>
      <c r="BL162" t="s">
        <v>1212</v>
      </c>
      <c r="BM162" t="s">
        <v>2476</v>
      </c>
      <c r="BN162" t="s">
        <v>74</v>
      </c>
      <c r="BO162" t="s">
        <v>74</v>
      </c>
      <c r="BP162" t="s">
        <v>74</v>
      </c>
      <c r="BQ162" t="s">
        <v>74</v>
      </c>
      <c r="BR162" t="s">
        <v>91</v>
      </c>
      <c r="BS162" t="s">
        <v>2477</v>
      </c>
      <c r="BT162" t="str">
        <f>HYPERLINK("https%3A%2F%2Fwww.webofscience.com%2Fwos%2Fwoscc%2Ffull-record%2FWOS:000171246000008","View Full Record in Web of Science")</f>
        <v>View Full Record in Web of Science</v>
      </c>
    </row>
    <row r="163" spans="1:72" x14ac:dyDescent="0.15">
      <c r="A163" t="s">
        <v>72</v>
      </c>
      <c r="B163" t="s">
        <v>2478</v>
      </c>
      <c r="C163" t="s">
        <v>74</v>
      </c>
      <c r="D163" t="s">
        <v>74</v>
      </c>
      <c r="E163" t="s">
        <v>74</v>
      </c>
      <c r="F163" t="s">
        <v>2478</v>
      </c>
      <c r="G163" t="s">
        <v>74</v>
      </c>
      <c r="H163" t="s">
        <v>74</v>
      </c>
      <c r="I163" t="s">
        <v>2479</v>
      </c>
      <c r="J163" t="s">
        <v>1237</v>
      </c>
      <c r="K163" t="s">
        <v>74</v>
      </c>
      <c r="L163" t="s">
        <v>74</v>
      </c>
      <c r="M163" t="s">
        <v>77</v>
      </c>
      <c r="N163" t="s">
        <v>120</v>
      </c>
      <c r="O163" t="s">
        <v>74</v>
      </c>
      <c r="P163" t="s">
        <v>74</v>
      </c>
      <c r="Q163" t="s">
        <v>74</v>
      </c>
      <c r="R163" t="s">
        <v>74</v>
      </c>
      <c r="S163" t="s">
        <v>74</v>
      </c>
      <c r="T163" t="s">
        <v>2480</v>
      </c>
      <c r="U163" t="s">
        <v>2481</v>
      </c>
      <c r="V163" t="s">
        <v>2482</v>
      </c>
      <c r="W163" t="s">
        <v>2483</v>
      </c>
      <c r="X163" t="s">
        <v>2484</v>
      </c>
      <c r="Y163" t="s">
        <v>2485</v>
      </c>
      <c r="Z163" t="s">
        <v>2486</v>
      </c>
      <c r="AA163" t="s">
        <v>2487</v>
      </c>
      <c r="AB163" t="s">
        <v>2488</v>
      </c>
      <c r="AC163" t="s">
        <v>74</v>
      </c>
      <c r="AD163" t="s">
        <v>74</v>
      </c>
      <c r="AE163" t="s">
        <v>74</v>
      </c>
      <c r="AF163" t="s">
        <v>74</v>
      </c>
      <c r="AG163">
        <v>25</v>
      </c>
      <c r="AH163">
        <v>19</v>
      </c>
      <c r="AI163">
        <v>20</v>
      </c>
      <c r="AJ163">
        <v>1</v>
      </c>
      <c r="AK163">
        <v>8</v>
      </c>
      <c r="AL163" t="s">
        <v>1247</v>
      </c>
      <c r="AM163" t="s">
        <v>1248</v>
      </c>
      <c r="AN163" t="s">
        <v>1249</v>
      </c>
      <c r="AO163" t="s">
        <v>1250</v>
      </c>
      <c r="AP163" t="s">
        <v>1251</v>
      </c>
      <c r="AQ163" t="s">
        <v>74</v>
      </c>
      <c r="AR163" t="s">
        <v>1252</v>
      </c>
      <c r="AS163" t="s">
        <v>1253</v>
      </c>
      <c r="AT163" t="s">
        <v>2079</v>
      </c>
      <c r="AU163">
        <v>2001</v>
      </c>
      <c r="AV163">
        <v>59</v>
      </c>
      <c r="AW163">
        <v>4</v>
      </c>
      <c r="AX163" t="s">
        <v>74</v>
      </c>
      <c r="AY163" t="s">
        <v>74</v>
      </c>
      <c r="AZ163" t="s">
        <v>74</v>
      </c>
      <c r="BA163" t="s">
        <v>74</v>
      </c>
      <c r="BB163">
        <v>818</v>
      </c>
      <c r="BC163">
        <v>823</v>
      </c>
      <c r="BD163" t="s">
        <v>74</v>
      </c>
      <c r="BE163" t="s">
        <v>2489</v>
      </c>
      <c r="BF163" t="str">
        <f>HYPERLINK("http://dx.doi.org/10.1111/j.1095-8649.2001.tb00152.x","http://dx.doi.org/10.1111/j.1095-8649.2001.tb00152.x")</f>
        <v>http://dx.doi.org/10.1111/j.1095-8649.2001.tb00152.x</v>
      </c>
      <c r="BG163" t="s">
        <v>74</v>
      </c>
      <c r="BH163" t="s">
        <v>74</v>
      </c>
      <c r="BI163">
        <v>6</v>
      </c>
      <c r="BJ163" t="s">
        <v>1255</v>
      </c>
      <c r="BK163" t="s">
        <v>88</v>
      </c>
      <c r="BL163" t="s">
        <v>1255</v>
      </c>
      <c r="BM163" t="s">
        <v>2490</v>
      </c>
      <c r="BN163" t="s">
        <v>74</v>
      </c>
      <c r="BO163" t="s">
        <v>171</v>
      </c>
      <c r="BP163" t="s">
        <v>74</v>
      </c>
      <c r="BQ163" t="s">
        <v>74</v>
      </c>
      <c r="BR163" t="s">
        <v>91</v>
      </c>
      <c r="BS163" t="s">
        <v>2491</v>
      </c>
      <c r="BT163" t="str">
        <f>HYPERLINK("https%3A%2F%2Fwww.webofscience.com%2Fwos%2Fwoscc%2Ffull-record%2FWOS:000172192700005","View Full Record in Web of Science")</f>
        <v>View Full Record in Web of Science</v>
      </c>
    </row>
    <row r="164" spans="1:72" x14ac:dyDescent="0.15">
      <c r="A164" t="s">
        <v>72</v>
      </c>
      <c r="B164" t="s">
        <v>2492</v>
      </c>
      <c r="C164" t="s">
        <v>74</v>
      </c>
      <c r="D164" t="s">
        <v>74</v>
      </c>
      <c r="E164" t="s">
        <v>74</v>
      </c>
      <c r="F164" t="s">
        <v>2492</v>
      </c>
      <c r="G164" t="s">
        <v>74</v>
      </c>
      <c r="H164" t="s">
        <v>74</v>
      </c>
      <c r="I164" t="s">
        <v>2493</v>
      </c>
      <c r="J164" t="s">
        <v>2494</v>
      </c>
      <c r="K164" t="s">
        <v>74</v>
      </c>
      <c r="L164" t="s">
        <v>74</v>
      </c>
      <c r="M164" t="s">
        <v>77</v>
      </c>
      <c r="N164" t="s">
        <v>120</v>
      </c>
      <c r="O164" t="s">
        <v>74</v>
      </c>
      <c r="P164" t="s">
        <v>74</v>
      </c>
      <c r="Q164" t="s">
        <v>74</v>
      </c>
      <c r="R164" t="s">
        <v>74</v>
      </c>
      <c r="S164" t="s">
        <v>74</v>
      </c>
      <c r="T164" t="s">
        <v>74</v>
      </c>
      <c r="U164" t="s">
        <v>2495</v>
      </c>
      <c r="V164" t="s">
        <v>2496</v>
      </c>
      <c r="W164" t="s">
        <v>2497</v>
      </c>
      <c r="X164" t="s">
        <v>419</v>
      </c>
      <c r="Y164" t="s">
        <v>2498</v>
      </c>
      <c r="Z164" t="s">
        <v>2499</v>
      </c>
      <c r="AA164" t="s">
        <v>74</v>
      </c>
      <c r="AB164" t="s">
        <v>74</v>
      </c>
      <c r="AC164" t="s">
        <v>74</v>
      </c>
      <c r="AD164" t="s">
        <v>74</v>
      </c>
      <c r="AE164" t="s">
        <v>74</v>
      </c>
      <c r="AF164" t="s">
        <v>74</v>
      </c>
      <c r="AG164">
        <v>83</v>
      </c>
      <c r="AH164">
        <v>9</v>
      </c>
      <c r="AI164">
        <v>11</v>
      </c>
      <c r="AJ164">
        <v>1</v>
      </c>
      <c r="AK164">
        <v>3</v>
      </c>
      <c r="AL164" t="s">
        <v>2500</v>
      </c>
      <c r="AM164" t="s">
        <v>994</v>
      </c>
      <c r="AN164" t="s">
        <v>2501</v>
      </c>
      <c r="AO164" t="s">
        <v>2502</v>
      </c>
      <c r="AP164" t="s">
        <v>74</v>
      </c>
      <c r="AQ164" t="s">
        <v>74</v>
      </c>
      <c r="AR164" t="s">
        <v>2503</v>
      </c>
      <c r="AS164" t="s">
        <v>2504</v>
      </c>
      <c r="AT164" t="s">
        <v>2079</v>
      </c>
      <c r="AU164">
        <v>2001</v>
      </c>
      <c r="AV164">
        <v>31</v>
      </c>
      <c r="AW164">
        <v>4</v>
      </c>
      <c r="AX164" t="s">
        <v>74</v>
      </c>
      <c r="AY164" t="s">
        <v>74</v>
      </c>
      <c r="AZ164" t="s">
        <v>74</v>
      </c>
      <c r="BA164" t="s">
        <v>74</v>
      </c>
      <c r="BB164">
        <v>369</v>
      </c>
      <c r="BC164">
        <v>384</v>
      </c>
      <c r="BD164" t="s">
        <v>74</v>
      </c>
      <c r="BE164" t="s">
        <v>2505</v>
      </c>
      <c r="BF164" t="str">
        <f>HYPERLINK("http://dx.doi.org/10.2113/0310369","http://dx.doi.org/10.2113/0310369")</f>
        <v>http://dx.doi.org/10.2113/0310369</v>
      </c>
      <c r="BG164" t="s">
        <v>74</v>
      </c>
      <c r="BH164" t="s">
        <v>74</v>
      </c>
      <c r="BI164">
        <v>16</v>
      </c>
      <c r="BJ164" t="s">
        <v>1460</v>
      </c>
      <c r="BK164" t="s">
        <v>88</v>
      </c>
      <c r="BL164" t="s">
        <v>1460</v>
      </c>
      <c r="BM164" t="s">
        <v>2506</v>
      </c>
      <c r="BN164" t="s">
        <v>74</v>
      </c>
      <c r="BO164" t="s">
        <v>74</v>
      </c>
      <c r="BP164" t="s">
        <v>74</v>
      </c>
      <c r="BQ164" t="s">
        <v>74</v>
      </c>
      <c r="BR164" t="s">
        <v>91</v>
      </c>
      <c r="BS164" t="s">
        <v>2507</v>
      </c>
      <c r="BT164" t="str">
        <f>HYPERLINK("https%3A%2F%2Fwww.webofscience.com%2Fwos%2Fwoscc%2Ffull-record%2FWOS:000172684700009","View Full Record in Web of Science")</f>
        <v>View Full Record in Web of Science</v>
      </c>
    </row>
    <row r="165" spans="1:72" x14ac:dyDescent="0.15">
      <c r="A165" t="s">
        <v>72</v>
      </c>
      <c r="B165" t="s">
        <v>2508</v>
      </c>
      <c r="C165" t="s">
        <v>74</v>
      </c>
      <c r="D165" t="s">
        <v>74</v>
      </c>
      <c r="E165" t="s">
        <v>74</v>
      </c>
      <c r="F165" t="s">
        <v>2508</v>
      </c>
      <c r="G165" t="s">
        <v>74</v>
      </c>
      <c r="H165" t="s">
        <v>74</v>
      </c>
      <c r="I165" t="s">
        <v>2509</v>
      </c>
      <c r="J165" t="s">
        <v>1272</v>
      </c>
      <c r="K165" t="s">
        <v>74</v>
      </c>
      <c r="L165" t="s">
        <v>74</v>
      </c>
      <c r="M165" t="s">
        <v>77</v>
      </c>
      <c r="N165" t="s">
        <v>120</v>
      </c>
      <c r="O165" t="s">
        <v>74</v>
      </c>
      <c r="P165" t="s">
        <v>74</v>
      </c>
      <c r="Q165" t="s">
        <v>74</v>
      </c>
      <c r="R165" t="s">
        <v>74</v>
      </c>
      <c r="S165" t="s">
        <v>74</v>
      </c>
      <c r="T165" t="s">
        <v>74</v>
      </c>
      <c r="U165" t="s">
        <v>2510</v>
      </c>
      <c r="V165" t="s">
        <v>2511</v>
      </c>
      <c r="W165" t="s">
        <v>2512</v>
      </c>
      <c r="X165" t="s">
        <v>2513</v>
      </c>
      <c r="Y165" t="s">
        <v>2514</v>
      </c>
      <c r="Z165" t="s">
        <v>2515</v>
      </c>
      <c r="AA165" t="s">
        <v>74</v>
      </c>
      <c r="AB165" t="s">
        <v>74</v>
      </c>
      <c r="AC165" t="s">
        <v>74</v>
      </c>
      <c r="AD165" t="s">
        <v>74</v>
      </c>
      <c r="AE165" t="s">
        <v>74</v>
      </c>
      <c r="AF165" t="s">
        <v>74</v>
      </c>
      <c r="AG165">
        <v>45</v>
      </c>
      <c r="AH165">
        <v>139</v>
      </c>
      <c r="AI165">
        <v>144</v>
      </c>
      <c r="AJ165">
        <v>0</v>
      </c>
      <c r="AK165">
        <v>6</v>
      </c>
      <c r="AL165" t="s">
        <v>149</v>
      </c>
      <c r="AM165" t="s">
        <v>150</v>
      </c>
      <c r="AN165" t="s">
        <v>151</v>
      </c>
      <c r="AO165" t="s">
        <v>1281</v>
      </c>
      <c r="AP165" t="s">
        <v>1282</v>
      </c>
      <c r="AQ165" t="s">
        <v>74</v>
      </c>
      <c r="AR165" t="s">
        <v>1283</v>
      </c>
      <c r="AS165" t="s">
        <v>1284</v>
      </c>
      <c r="AT165" t="s">
        <v>2337</v>
      </c>
      <c r="AU165">
        <v>2001</v>
      </c>
      <c r="AV165">
        <v>106</v>
      </c>
      <c r="AW165" t="s">
        <v>2516</v>
      </c>
      <c r="AX165" t="s">
        <v>74</v>
      </c>
      <c r="AY165" t="s">
        <v>74</v>
      </c>
      <c r="AZ165" t="s">
        <v>74</v>
      </c>
      <c r="BA165" t="s">
        <v>74</v>
      </c>
      <c r="BB165">
        <v>21585</v>
      </c>
      <c r="BC165">
        <v>21598</v>
      </c>
      <c r="BD165" t="s">
        <v>74</v>
      </c>
      <c r="BE165" t="s">
        <v>2517</v>
      </c>
      <c r="BF165" t="str">
        <f>HYPERLINK("http://dx.doi.org/10.1029/2000JA000237","http://dx.doi.org/10.1029/2000JA000237")</f>
        <v>http://dx.doi.org/10.1029/2000JA000237</v>
      </c>
      <c r="BG165" t="s">
        <v>74</v>
      </c>
      <c r="BH165" t="s">
        <v>74</v>
      </c>
      <c r="BI165">
        <v>14</v>
      </c>
      <c r="BJ165" t="s">
        <v>1139</v>
      </c>
      <c r="BK165" t="s">
        <v>88</v>
      </c>
      <c r="BL165" t="s">
        <v>1139</v>
      </c>
      <c r="BM165" t="s">
        <v>2518</v>
      </c>
      <c r="BN165" t="s">
        <v>74</v>
      </c>
      <c r="BO165" t="s">
        <v>171</v>
      </c>
      <c r="BP165" t="s">
        <v>74</v>
      </c>
      <c r="BQ165" t="s">
        <v>74</v>
      </c>
      <c r="BR165" t="s">
        <v>91</v>
      </c>
      <c r="BS165" t="s">
        <v>2519</v>
      </c>
      <c r="BT165" t="str">
        <f>HYPERLINK("https%3A%2F%2Fwww.webofscience.com%2Fwos%2Fwoscc%2Ffull-record%2FWOS:000171194600055","View Full Record in Web of Science")</f>
        <v>View Full Record in Web of Science</v>
      </c>
    </row>
    <row r="166" spans="1:72" x14ac:dyDescent="0.15">
      <c r="A166" t="s">
        <v>72</v>
      </c>
      <c r="B166" t="s">
        <v>2520</v>
      </c>
      <c r="C166" t="s">
        <v>74</v>
      </c>
      <c r="D166" t="s">
        <v>74</v>
      </c>
      <c r="E166" t="s">
        <v>74</v>
      </c>
      <c r="F166" t="s">
        <v>2520</v>
      </c>
      <c r="G166" t="s">
        <v>74</v>
      </c>
      <c r="H166" t="s">
        <v>74</v>
      </c>
      <c r="I166" t="s">
        <v>2521</v>
      </c>
      <c r="J166" t="s">
        <v>2522</v>
      </c>
      <c r="K166" t="s">
        <v>74</v>
      </c>
      <c r="L166" t="s">
        <v>74</v>
      </c>
      <c r="M166" t="s">
        <v>77</v>
      </c>
      <c r="N166" t="s">
        <v>120</v>
      </c>
      <c r="O166" t="s">
        <v>74</v>
      </c>
      <c r="P166" t="s">
        <v>74</v>
      </c>
      <c r="Q166" t="s">
        <v>74</v>
      </c>
      <c r="R166" t="s">
        <v>74</v>
      </c>
      <c r="S166" t="s">
        <v>74</v>
      </c>
      <c r="T166" t="s">
        <v>2523</v>
      </c>
      <c r="U166" t="s">
        <v>2524</v>
      </c>
      <c r="V166" t="s">
        <v>2525</v>
      </c>
      <c r="W166" t="s">
        <v>2526</v>
      </c>
      <c r="X166" t="s">
        <v>2527</v>
      </c>
      <c r="Y166" t="s">
        <v>2528</v>
      </c>
      <c r="Z166" t="s">
        <v>74</v>
      </c>
      <c r="AA166" t="s">
        <v>2529</v>
      </c>
      <c r="AB166" t="s">
        <v>2530</v>
      </c>
      <c r="AC166" t="s">
        <v>2531</v>
      </c>
      <c r="AD166" t="s">
        <v>2532</v>
      </c>
      <c r="AE166" t="s">
        <v>74</v>
      </c>
      <c r="AF166" t="s">
        <v>74</v>
      </c>
      <c r="AG166">
        <v>62</v>
      </c>
      <c r="AH166">
        <v>16</v>
      </c>
      <c r="AI166">
        <v>17</v>
      </c>
      <c r="AJ166">
        <v>0</v>
      </c>
      <c r="AK166">
        <v>16</v>
      </c>
      <c r="AL166" t="s">
        <v>1511</v>
      </c>
      <c r="AM166" t="s">
        <v>204</v>
      </c>
      <c r="AN166" t="s">
        <v>1512</v>
      </c>
      <c r="AO166" t="s">
        <v>2533</v>
      </c>
      <c r="AP166" t="s">
        <v>74</v>
      </c>
      <c r="AQ166" t="s">
        <v>74</v>
      </c>
      <c r="AR166" t="s">
        <v>2534</v>
      </c>
      <c r="AS166" t="s">
        <v>2535</v>
      </c>
      <c r="AT166" t="s">
        <v>2079</v>
      </c>
      <c r="AU166">
        <v>2001</v>
      </c>
      <c r="AV166">
        <v>250</v>
      </c>
      <c r="AW166">
        <v>1</v>
      </c>
      <c r="AX166" t="s">
        <v>74</v>
      </c>
      <c r="AY166" t="s">
        <v>74</v>
      </c>
      <c r="AZ166" t="s">
        <v>74</v>
      </c>
      <c r="BA166" t="s">
        <v>74</v>
      </c>
      <c r="BB166">
        <v>34</v>
      </c>
      <c r="BC166">
        <v>50</v>
      </c>
      <c r="BD166" t="s">
        <v>74</v>
      </c>
      <c r="BE166" t="s">
        <v>2536</v>
      </c>
      <c r="BF166" t="str">
        <f>HYPERLINK("http://dx.doi.org/10.1002/jmor.1057","http://dx.doi.org/10.1002/jmor.1057")</f>
        <v>http://dx.doi.org/10.1002/jmor.1057</v>
      </c>
      <c r="BG166" t="s">
        <v>74</v>
      </c>
      <c r="BH166" t="s">
        <v>74</v>
      </c>
      <c r="BI166">
        <v>17</v>
      </c>
      <c r="BJ166" t="s">
        <v>2537</v>
      </c>
      <c r="BK166" t="s">
        <v>88</v>
      </c>
      <c r="BL166" t="s">
        <v>2537</v>
      </c>
      <c r="BM166" t="s">
        <v>2538</v>
      </c>
      <c r="BN166">
        <v>11599014</v>
      </c>
      <c r="BO166" t="s">
        <v>74</v>
      </c>
      <c r="BP166" t="s">
        <v>74</v>
      </c>
      <c r="BQ166" t="s">
        <v>74</v>
      </c>
      <c r="BR166" t="s">
        <v>91</v>
      </c>
      <c r="BS166" t="s">
        <v>2539</v>
      </c>
      <c r="BT166" t="str">
        <f>HYPERLINK("https%3A%2F%2Fwww.webofscience.com%2Fwos%2Fwoscc%2Ffull-record%2FWOS:000171266600004","View Full Record in Web of Science")</f>
        <v>View Full Record in Web of Science</v>
      </c>
    </row>
    <row r="167" spans="1:72" x14ac:dyDescent="0.15">
      <c r="A167" t="s">
        <v>72</v>
      </c>
      <c r="B167" t="s">
        <v>2540</v>
      </c>
      <c r="C167" t="s">
        <v>74</v>
      </c>
      <c r="D167" t="s">
        <v>74</v>
      </c>
      <c r="E167" t="s">
        <v>74</v>
      </c>
      <c r="F167" t="s">
        <v>2540</v>
      </c>
      <c r="G167" t="s">
        <v>74</v>
      </c>
      <c r="H167" t="s">
        <v>74</v>
      </c>
      <c r="I167" t="s">
        <v>2541</v>
      </c>
      <c r="J167" t="s">
        <v>2542</v>
      </c>
      <c r="K167" t="s">
        <v>74</v>
      </c>
      <c r="L167" t="s">
        <v>74</v>
      </c>
      <c r="M167" t="s">
        <v>77</v>
      </c>
      <c r="N167" t="s">
        <v>120</v>
      </c>
      <c r="O167" t="s">
        <v>74</v>
      </c>
      <c r="P167" t="s">
        <v>74</v>
      </c>
      <c r="Q167" t="s">
        <v>74</v>
      </c>
      <c r="R167" t="s">
        <v>74</v>
      </c>
      <c r="S167" t="s">
        <v>74</v>
      </c>
      <c r="T167" t="s">
        <v>74</v>
      </c>
      <c r="U167" t="s">
        <v>2543</v>
      </c>
      <c r="V167" t="s">
        <v>2544</v>
      </c>
      <c r="W167" t="s">
        <v>2545</v>
      </c>
      <c r="X167" t="s">
        <v>2546</v>
      </c>
      <c r="Y167" t="s">
        <v>2547</v>
      </c>
      <c r="Z167" t="s">
        <v>74</v>
      </c>
      <c r="AA167" t="s">
        <v>74</v>
      </c>
      <c r="AB167" t="s">
        <v>74</v>
      </c>
      <c r="AC167" t="s">
        <v>74</v>
      </c>
      <c r="AD167" t="s">
        <v>74</v>
      </c>
      <c r="AE167" t="s">
        <v>74</v>
      </c>
      <c r="AF167" t="s">
        <v>74</v>
      </c>
      <c r="AG167">
        <v>30</v>
      </c>
      <c r="AH167">
        <v>18</v>
      </c>
      <c r="AI167">
        <v>19</v>
      </c>
      <c r="AJ167">
        <v>0</v>
      </c>
      <c r="AK167">
        <v>3</v>
      </c>
      <c r="AL167" t="s">
        <v>2548</v>
      </c>
      <c r="AM167" t="s">
        <v>994</v>
      </c>
      <c r="AN167" t="s">
        <v>2549</v>
      </c>
      <c r="AO167" t="s">
        <v>2550</v>
      </c>
      <c r="AP167" t="s">
        <v>2551</v>
      </c>
      <c r="AQ167" t="s">
        <v>74</v>
      </c>
      <c r="AR167" t="s">
        <v>2552</v>
      </c>
      <c r="AS167" t="s">
        <v>2553</v>
      </c>
      <c r="AT167" t="s">
        <v>2079</v>
      </c>
      <c r="AU167">
        <v>2001</v>
      </c>
      <c r="AV167">
        <v>87</v>
      </c>
      <c r="AW167">
        <v>5</v>
      </c>
      <c r="AX167" t="s">
        <v>74</v>
      </c>
      <c r="AY167" t="s">
        <v>74</v>
      </c>
      <c r="AZ167" t="s">
        <v>74</v>
      </c>
      <c r="BA167" t="s">
        <v>74</v>
      </c>
      <c r="BB167">
        <v>1205</v>
      </c>
      <c r="BC167">
        <v>1208</v>
      </c>
      <c r="BD167" t="s">
        <v>74</v>
      </c>
      <c r="BE167" t="s">
        <v>2554</v>
      </c>
      <c r="BF167" t="str">
        <f>HYPERLINK("http://dx.doi.org/10.2307/3285269","http://dx.doi.org/10.2307/3285269")</f>
        <v>http://dx.doi.org/10.2307/3285269</v>
      </c>
      <c r="BG167" t="s">
        <v>74</v>
      </c>
      <c r="BH167" t="s">
        <v>74</v>
      </c>
      <c r="BI167">
        <v>4</v>
      </c>
      <c r="BJ167" t="s">
        <v>2555</v>
      </c>
      <c r="BK167" t="s">
        <v>88</v>
      </c>
      <c r="BL167" t="s">
        <v>2555</v>
      </c>
      <c r="BM167" t="s">
        <v>2556</v>
      </c>
      <c r="BN167">
        <v>11695402</v>
      </c>
      <c r="BO167" t="s">
        <v>74</v>
      </c>
      <c r="BP167" t="s">
        <v>74</v>
      </c>
      <c r="BQ167" t="s">
        <v>74</v>
      </c>
      <c r="BR167" t="s">
        <v>91</v>
      </c>
      <c r="BS167" t="s">
        <v>2557</v>
      </c>
      <c r="BT167" t="str">
        <f>HYPERLINK("https%3A%2F%2Fwww.webofscience.com%2Fwos%2Fwoscc%2Ffull-record%2FWOS:000171782300057","View Full Record in Web of Science")</f>
        <v>View Full Record in Web of Science</v>
      </c>
    </row>
    <row r="168" spans="1:72" x14ac:dyDescent="0.15">
      <c r="A168" t="s">
        <v>72</v>
      </c>
      <c r="B168" t="s">
        <v>2558</v>
      </c>
      <c r="C168" t="s">
        <v>74</v>
      </c>
      <c r="D168" t="s">
        <v>74</v>
      </c>
      <c r="E168" t="s">
        <v>74</v>
      </c>
      <c r="F168" t="s">
        <v>2558</v>
      </c>
      <c r="G168" t="s">
        <v>74</v>
      </c>
      <c r="H168" t="s">
        <v>74</v>
      </c>
      <c r="I168" t="s">
        <v>2559</v>
      </c>
      <c r="J168" t="s">
        <v>2560</v>
      </c>
      <c r="K168" t="s">
        <v>74</v>
      </c>
      <c r="L168" t="s">
        <v>74</v>
      </c>
      <c r="M168" t="s">
        <v>77</v>
      </c>
      <c r="N168" t="s">
        <v>120</v>
      </c>
      <c r="O168" t="s">
        <v>74</v>
      </c>
      <c r="P168" t="s">
        <v>74</v>
      </c>
      <c r="Q168" t="s">
        <v>74</v>
      </c>
      <c r="R168" t="s">
        <v>74</v>
      </c>
      <c r="S168" t="s">
        <v>74</v>
      </c>
      <c r="T168" t="s">
        <v>74</v>
      </c>
      <c r="U168" t="s">
        <v>2561</v>
      </c>
      <c r="V168" t="s">
        <v>2562</v>
      </c>
      <c r="W168" t="s">
        <v>2563</v>
      </c>
      <c r="X168" t="s">
        <v>2564</v>
      </c>
      <c r="Y168" t="s">
        <v>2565</v>
      </c>
      <c r="Z168" t="s">
        <v>2566</v>
      </c>
      <c r="AA168" t="s">
        <v>2567</v>
      </c>
      <c r="AB168" t="s">
        <v>2568</v>
      </c>
      <c r="AC168" t="s">
        <v>74</v>
      </c>
      <c r="AD168" t="s">
        <v>74</v>
      </c>
      <c r="AE168" t="s">
        <v>74</v>
      </c>
      <c r="AF168" t="s">
        <v>74</v>
      </c>
      <c r="AG168">
        <v>31</v>
      </c>
      <c r="AH168">
        <v>38</v>
      </c>
      <c r="AI168">
        <v>41</v>
      </c>
      <c r="AJ168">
        <v>0</v>
      </c>
      <c r="AK168">
        <v>9</v>
      </c>
      <c r="AL168" t="s">
        <v>273</v>
      </c>
      <c r="AM168" t="s">
        <v>80</v>
      </c>
      <c r="AN168" t="s">
        <v>274</v>
      </c>
      <c r="AO168" t="s">
        <v>2569</v>
      </c>
      <c r="AP168" t="s">
        <v>2570</v>
      </c>
      <c r="AQ168" t="s">
        <v>74</v>
      </c>
      <c r="AR168" t="s">
        <v>2571</v>
      </c>
      <c r="AS168" t="s">
        <v>2572</v>
      </c>
      <c r="AT168" t="s">
        <v>2079</v>
      </c>
      <c r="AU168">
        <v>2001</v>
      </c>
      <c r="AV168">
        <v>23</v>
      </c>
      <c r="AW168">
        <v>10</v>
      </c>
      <c r="AX168" t="s">
        <v>74</v>
      </c>
      <c r="AY168" t="s">
        <v>74</v>
      </c>
      <c r="AZ168" t="s">
        <v>74</v>
      </c>
      <c r="BA168" t="s">
        <v>74</v>
      </c>
      <c r="BB168">
        <v>1073</v>
      </c>
      <c r="BC168">
        <v>1080</v>
      </c>
      <c r="BD168" t="s">
        <v>74</v>
      </c>
      <c r="BE168" t="s">
        <v>2573</v>
      </c>
      <c r="BF168" t="str">
        <f>HYPERLINK("http://dx.doi.org/10.1093/plankt/23.10.1073","http://dx.doi.org/10.1093/plankt/23.10.1073")</f>
        <v>http://dx.doi.org/10.1093/plankt/23.10.1073</v>
      </c>
      <c r="BG168" t="s">
        <v>74</v>
      </c>
      <c r="BH168" t="s">
        <v>74</v>
      </c>
      <c r="BI168">
        <v>8</v>
      </c>
      <c r="BJ168" t="s">
        <v>2574</v>
      </c>
      <c r="BK168" t="s">
        <v>88</v>
      </c>
      <c r="BL168" t="s">
        <v>2574</v>
      </c>
      <c r="BM168" t="s">
        <v>2575</v>
      </c>
      <c r="BN168" t="s">
        <v>74</v>
      </c>
      <c r="BO168" t="s">
        <v>171</v>
      </c>
      <c r="BP168" t="s">
        <v>74</v>
      </c>
      <c r="BQ168" t="s">
        <v>74</v>
      </c>
      <c r="BR168" t="s">
        <v>91</v>
      </c>
      <c r="BS168" t="s">
        <v>2576</v>
      </c>
      <c r="BT168" t="str">
        <f>HYPERLINK("https%3A%2F%2Fwww.webofscience.com%2Fwos%2Fwoscc%2Ffull-record%2FWOS:000171632800003","View Full Record in Web of Science")</f>
        <v>View Full Record in Web of Science</v>
      </c>
    </row>
    <row r="169" spans="1:72" x14ac:dyDescent="0.15">
      <c r="A169" t="s">
        <v>72</v>
      </c>
      <c r="B169" t="s">
        <v>2577</v>
      </c>
      <c r="C169" t="s">
        <v>74</v>
      </c>
      <c r="D169" t="s">
        <v>74</v>
      </c>
      <c r="E169" t="s">
        <v>74</v>
      </c>
      <c r="F169" t="s">
        <v>2577</v>
      </c>
      <c r="G169" t="s">
        <v>74</v>
      </c>
      <c r="H169" t="s">
        <v>74</v>
      </c>
      <c r="I169" t="s">
        <v>2578</v>
      </c>
      <c r="J169" t="s">
        <v>2560</v>
      </c>
      <c r="K169" t="s">
        <v>74</v>
      </c>
      <c r="L169" t="s">
        <v>74</v>
      </c>
      <c r="M169" t="s">
        <v>77</v>
      </c>
      <c r="N169" t="s">
        <v>120</v>
      </c>
      <c r="O169" t="s">
        <v>74</v>
      </c>
      <c r="P169" t="s">
        <v>74</v>
      </c>
      <c r="Q169" t="s">
        <v>74</v>
      </c>
      <c r="R169" t="s">
        <v>74</v>
      </c>
      <c r="S169" t="s">
        <v>74</v>
      </c>
      <c r="T169" t="s">
        <v>74</v>
      </c>
      <c r="U169" t="s">
        <v>2579</v>
      </c>
      <c r="V169" t="s">
        <v>2580</v>
      </c>
      <c r="W169" t="s">
        <v>2581</v>
      </c>
      <c r="X169" t="s">
        <v>2582</v>
      </c>
      <c r="Y169" t="s">
        <v>2583</v>
      </c>
      <c r="Z169" t="s">
        <v>74</v>
      </c>
      <c r="AA169" t="s">
        <v>74</v>
      </c>
      <c r="AB169" t="s">
        <v>2584</v>
      </c>
      <c r="AC169" t="s">
        <v>74</v>
      </c>
      <c r="AD169" t="s">
        <v>74</v>
      </c>
      <c r="AE169" t="s">
        <v>74</v>
      </c>
      <c r="AF169" t="s">
        <v>74</v>
      </c>
      <c r="AG169">
        <v>70</v>
      </c>
      <c r="AH169">
        <v>37</v>
      </c>
      <c r="AI169">
        <v>41</v>
      </c>
      <c r="AJ169">
        <v>0</v>
      </c>
      <c r="AK169">
        <v>8</v>
      </c>
      <c r="AL169" t="s">
        <v>273</v>
      </c>
      <c r="AM169" t="s">
        <v>80</v>
      </c>
      <c r="AN169" t="s">
        <v>274</v>
      </c>
      <c r="AO169" t="s">
        <v>2569</v>
      </c>
      <c r="AP169" t="s">
        <v>2570</v>
      </c>
      <c r="AQ169" t="s">
        <v>74</v>
      </c>
      <c r="AR169" t="s">
        <v>2571</v>
      </c>
      <c r="AS169" t="s">
        <v>2572</v>
      </c>
      <c r="AT169" t="s">
        <v>2079</v>
      </c>
      <c r="AU169">
        <v>2001</v>
      </c>
      <c r="AV169">
        <v>23</v>
      </c>
      <c r="AW169">
        <v>10</v>
      </c>
      <c r="AX169" t="s">
        <v>74</v>
      </c>
      <c r="AY169" t="s">
        <v>74</v>
      </c>
      <c r="AZ169" t="s">
        <v>74</v>
      </c>
      <c r="BA169" t="s">
        <v>74</v>
      </c>
      <c r="BB169">
        <v>1095</v>
      </c>
      <c r="BC169">
        <v>1109</v>
      </c>
      <c r="BD169" t="s">
        <v>74</v>
      </c>
      <c r="BE169" t="s">
        <v>2585</v>
      </c>
      <c r="BF169" t="str">
        <f>HYPERLINK("http://dx.doi.org/10.1093/plankt/23.10.1095","http://dx.doi.org/10.1093/plankt/23.10.1095")</f>
        <v>http://dx.doi.org/10.1093/plankt/23.10.1095</v>
      </c>
      <c r="BG169" t="s">
        <v>74</v>
      </c>
      <c r="BH169" t="s">
        <v>74</v>
      </c>
      <c r="BI169">
        <v>15</v>
      </c>
      <c r="BJ169" t="s">
        <v>2574</v>
      </c>
      <c r="BK169" t="s">
        <v>88</v>
      </c>
      <c r="BL169" t="s">
        <v>2574</v>
      </c>
      <c r="BM169" t="s">
        <v>2575</v>
      </c>
      <c r="BN169" t="s">
        <v>74</v>
      </c>
      <c r="BO169" t="s">
        <v>74</v>
      </c>
      <c r="BP169" t="s">
        <v>74</v>
      </c>
      <c r="BQ169" t="s">
        <v>74</v>
      </c>
      <c r="BR169" t="s">
        <v>91</v>
      </c>
      <c r="BS169" t="s">
        <v>2586</v>
      </c>
      <c r="BT169" t="str">
        <f>HYPERLINK("https%3A%2F%2Fwww.webofscience.com%2Fwos%2Fwoscc%2Ffull-record%2FWOS:000171632800005","View Full Record in Web of Science")</f>
        <v>View Full Record in Web of Science</v>
      </c>
    </row>
    <row r="170" spans="1:72" x14ac:dyDescent="0.15">
      <c r="A170" t="s">
        <v>72</v>
      </c>
      <c r="B170" t="s">
        <v>2587</v>
      </c>
      <c r="C170" t="s">
        <v>74</v>
      </c>
      <c r="D170" t="s">
        <v>74</v>
      </c>
      <c r="E170" t="s">
        <v>74</v>
      </c>
      <c r="F170" t="s">
        <v>2587</v>
      </c>
      <c r="G170" t="s">
        <v>74</v>
      </c>
      <c r="H170" t="s">
        <v>74</v>
      </c>
      <c r="I170" t="s">
        <v>2588</v>
      </c>
      <c r="J170" t="s">
        <v>2589</v>
      </c>
      <c r="K170" t="s">
        <v>74</v>
      </c>
      <c r="L170" t="s">
        <v>74</v>
      </c>
      <c r="M170" t="s">
        <v>77</v>
      </c>
      <c r="N170" t="s">
        <v>120</v>
      </c>
      <c r="O170" t="s">
        <v>74</v>
      </c>
      <c r="P170" t="s">
        <v>74</v>
      </c>
      <c r="Q170" t="s">
        <v>74</v>
      </c>
      <c r="R170" t="s">
        <v>74</v>
      </c>
      <c r="S170" t="s">
        <v>74</v>
      </c>
      <c r="T170" t="s">
        <v>74</v>
      </c>
      <c r="U170" t="s">
        <v>2590</v>
      </c>
      <c r="V170" t="s">
        <v>2591</v>
      </c>
      <c r="W170" t="s">
        <v>2592</v>
      </c>
      <c r="X170" t="s">
        <v>2593</v>
      </c>
      <c r="Y170" t="s">
        <v>2594</v>
      </c>
      <c r="Z170" t="s">
        <v>74</v>
      </c>
      <c r="AA170" t="s">
        <v>2595</v>
      </c>
      <c r="AB170" t="s">
        <v>74</v>
      </c>
      <c r="AC170" t="s">
        <v>74</v>
      </c>
      <c r="AD170" t="s">
        <v>74</v>
      </c>
      <c r="AE170" t="s">
        <v>74</v>
      </c>
      <c r="AF170" t="s">
        <v>74</v>
      </c>
      <c r="AG170">
        <v>22</v>
      </c>
      <c r="AH170">
        <v>24</v>
      </c>
      <c r="AI170">
        <v>24</v>
      </c>
      <c r="AJ170">
        <v>0</v>
      </c>
      <c r="AK170">
        <v>1</v>
      </c>
      <c r="AL170" t="s">
        <v>2223</v>
      </c>
      <c r="AM170" t="s">
        <v>2224</v>
      </c>
      <c r="AN170" t="s">
        <v>2225</v>
      </c>
      <c r="AO170" t="s">
        <v>2596</v>
      </c>
      <c r="AP170" t="s">
        <v>74</v>
      </c>
      <c r="AQ170" t="s">
        <v>74</v>
      </c>
      <c r="AR170" t="s">
        <v>2597</v>
      </c>
      <c r="AS170" t="s">
        <v>2598</v>
      </c>
      <c r="AT170" t="s">
        <v>2079</v>
      </c>
      <c r="AU170">
        <v>2001</v>
      </c>
      <c r="AV170">
        <v>250</v>
      </c>
      <c r="AW170">
        <v>1</v>
      </c>
      <c r="AX170" t="s">
        <v>74</v>
      </c>
      <c r="AY170" t="s">
        <v>74</v>
      </c>
      <c r="AZ170" t="s">
        <v>74</v>
      </c>
      <c r="BA170" t="s">
        <v>74</v>
      </c>
      <c r="BB170">
        <v>97</v>
      </c>
      <c r="BC170">
        <v>107</v>
      </c>
      <c r="BD170" t="s">
        <v>74</v>
      </c>
      <c r="BE170" t="s">
        <v>74</v>
      </c>
      <c r="BF170" t="s">
        <v>74</v>
      </c>
      <c r="BG170" t="s">
        <v>74</v>
      </c>
      <c r="BH170" t="s">
        <v>74</v>
      </c>
      <c r="BI170">
        <v>11</v>
      </c>
      <c r="BJ170" t="s">
        <v>2599</v>
      </c>
      <c r="BK170" t="s">
        <v>88</v>
      </c>
      <c r="BL170" t="s">
        <v>2600</v>
      </c>
      <c r="BM170" t="s">
        <v>2601</v>
      </c>
      <c r="BN170" t="s">
        <v>74</v>
      </c>
      <c r="BO170" t="s">
        <v>74</v>
      </c>
      <c r="BP170" t="s">
        <v>74</v>
      </c>
      <c r="BQ170" t="s">
        <v>74</v>
      </c>
      <c r="BR170" t="s">
        <v>91</v>
      </c>
      <c r="BS170" t="s">
        <v>2602</v>
      </c>
      <c r="BT170" t="str">
        <f>HYPERLINK("https%3A%2F%2Fwww.webofscience.com%2Fwos%2Fwoscc%2Ffull-record%2FWOS:000171576800013","View Full Record in Web of Science")</f>
        <v>View Full Record in Web of Science</v>
      </c>
    </row>
    <row r="171" spans="1:72" x14ac:dyDescent="0.15">
      <c r="A171" t="s">
        <v>72</v>
      </c>
      <c r="B171" t="s">
        <v>2603</v>
      </c>
      <c r="C171" t="s">
        <v>74</v>
      </c>
      <c r="D171" t="s">
        <v>74</v>
      </c>
      <c r="E171" t="s">
        <v>74</v>
      </c>
      <c r="F171" t="s">
        <v>2603</v>
      </c>
      <c r="G171" t="s">
        <v>74</v>
      </c>
      <c r="H171" t="s">
        <v>74</v>
      </c>
      <c r="I171" t="s">
        <v>2604</v>
      </c>
      <c r="J171" t="s">
        <v>2605</v>
      </c>
      <c r="K171" t="s">
        <v>74</v>
      </c>
      <c r="L171" t="s">
        <v>74</v>
      </c>
      <c r="M171" t="s">
        <v>77</v>
      </c>
      <c r="N171" t="s">
        <v>120</v>
      </c>
      <c r="O171" t="s">
        <v>74</v>
      </c>
      <c r="P171" t="s">
        <v>74</v>
      </c>
      <c r="Q171" t="s">
        <v>74</v>
      </c>
      <c r="R171" t="s">
        <v>74</v>
      </c>
      <c r="S171" t="s">
        <v>74</v>
      </c>
      <c r="T171" t="s">
        <v>2606</v>
      </c>
      <c r="U171" t="s">
        <v>2607</v>
      </c>
      <c r="V171" t="s">
        <v>2608</v>
      </c>
      <c r="W171" t="s">
        <v>2609</v>
      </c>
      <c r="X171" t="s">
        <v>2610</v>
      </c>
      <c r="Y171" t="s">
        <v>2611</v>
      </c>
      <c r="Z171" t="s">
        <v>74</v>
      </c>
      <c r="AA171" t="s">
        <v>2612</v>
      </c>
      <c r="AB171" t="s">
        <v>2613</v>
      </c>
      <c r="AC171" t="s">
        <v>74</v>
      </c>
      <c r="AD171" t="s">
        <v>74</v>
      </c>
      <c r="AE171" t="s">
        <v>74</v>
      </c>
      <c r="AF171" t="s">
        <v>74</v>
      </c>
      <c r="AG171">
        <v>49</v>
      </c>
      <c r="AH171">
        <v>104</v>
      </c>
      <c r="AI171">
        <v>112</v>
      </c>
      <c r="AJ171">
        <v>1</v>
      </c>
      <c r="AK171">
        <v>14</v>
      </c>
      <c r="AL171" t="s">
        <v>1247</v>
      </c>
      <c r="AM171" t="s">
        <v>1248</v>
      </c>
      <c r="AN171" t="s">
        <v>1249</v>
      </c>
      <c r="AO171" t="s">
        <v>2614</v>
      </c>
      <c r="AP171" t="s">
        <v>2615</v>
      </c>
      <c r="AQ171" t="s">
        <v>74</v>
      </c>
      <c r="AR171" t="s">
        <v>2616</v>
      </c>
      <c r="AS171" t="s">
        <v>2617</v>
      </c>
      <c r="AT171" t="s">
        <v>2079</v>
      </c>
      <c r="AU171">
        <v>2001</v>
      </c>
      <c r="AV171">
        <v>255</v>
      </c>
      <c r="AW171" t="s">
        <v>74</v>
      </c>
      <c r="AX171">
        <v>2</v>
      </c>
      <c r="AY171" t="s">
        <v>74</v>
      </c>
      <c r="AZ171" t="s">
        <v>74</v>
      </c>
      <c r="BA171" t="s">
        <v>74</v>
      </c>
      <c r="BB171">
        <v>205</v>
      </c>
      <c r="BC171">
        <v>220</v>
      </c>
      <c r="BD171" t="s">
        <v>74</v>
      </c>
      <c r="BE171" t="s">
        <v>2618</v>
      </c>
      <c r="BF171" t="str">
        <f>HYPERLINK("http://dx.doi.org/10.1017/S0952836901001285","http://dx.doi.org/10.1017/S0952836901001285")</f>
        <v>http://dx.doi.org/10.1017/S0952836901001285</v>
      </c>
      <c r="BG171" t="s">
        <v>74</v>
      </c>
      <c r="BH171" t="s">
        <v>74</v>
      </c>
      <c r="BI171">
        <v>16</v>
      </c>
      <c r="BJ171" t="s">
        <v>408</v>
      </c>
      <c r="BK171" t="s">
        <v>88</v>
      </c>
      <c r="BL171" t="s">
        <v>408</v>
      </c>
      <c r="BM171" t="s">
        <v>2619</v>
      </c>
      <c r="BN171" t="s">
        <v>74</v>
      </c>
      <c r="BO171" t="s">
        <v>74</v>
      </c>
      <c r="BP171" t="s">
        <v>74</v>
      </c>
      <c r="BQ171" t="s">
        <v>74</v>
      </c>
      <c r="BR171" t="s">
        <v>91</v>
      </c>
      <c r="BS171" t="s">
        <v>2620</v>
      </c>
      <c r="BT171" t="str">
        <f>HYPERLINK("https%3A%2F%2Fwww.webofscience.com%2Fwos%2Fwoscc%2Ffull-record%2FWOS:000171784700009","View Full Record in Web of Science")</f>
        <v>View Full Record in Web of Science</v>
      </c>
    </row>
    <row r="172" spans="1:72" x14ac:dyDescent="0.15">
      <c r="A172" t="s">
        <v>72</v>
      </c>
      <c r="B172" t="s">
        <v>2621</v>
      </c>
      <c r="C172" t="s">
        <v>74</v>
      </c>
      <c r="D172" t="s">
        <v>74</v>
      </c>
      <c r="E172" t="s">
        <v>74</v>
      </c>
      <c r="F172" t="s">
        <v>2621</v>
      </c>
      <c r="G172" t="s">
        <v>74</v>
      </c>
      <c r="H172" t="s">
        <v>74</v>
      </c>
      <c r="I172" t="s">
        <v>2622</v>
      </c>
      <c r="J172" t="s">
        <v>1415</v>
      </c>
      <c r="K172" t="s">
        <v>74</v>
      </c>
      <c r="L172" t="s">
        <v>74</v>
      </c>
      <c r="M172" t="s">
        <v>77</v>
      </c>
      <c r="N172" t="s">
        <v>120</v>
      </c>
      <c r="O172" t="s">
        <v>74</v>
      </c>
      <c r="P172" t="s">
        <v>74</v>
      </c>
      <c r="Q172" t="s">
        <v>74</v>
      </c>
      <c r="R172" t="s">
        <v>74</v>
      </c>
      <c r="S172" t="s">
        <v>74</v>
      </c>
      <c r="T172" t="s">
        <v>74</v>
      </c>
      <c r="U172" t="s">
        <v>2623</v>
      </c>
      <c r="V172" t="s">
        <v>2624</v>
      </c>
      <c r="W172" t="s">
        <v>2625</v>
      </c>
      <c r="X172" t="s">
        <v>2626</v>
      </c>
      <c r="Y172" t="s">
        <v>2627</v>
      </c>
      <c r="Z172" t="s">
        <v>2628</v>
      </c>
      <c r="AA172" t="s">
        <v>2629</v>
      </c>
      <c r="AB172" t="s">
        <v>2630</v>
      </c>
      <c r="AC172" t="s">
        <v>74</v>
      </c>
      <c r="AD172" t="s">
        <v>74</v>
      </c>
      <c r="AE172" t="s">
        <v>74</v>
      </c>
      <c r="AF172" t="s">
        <v>74</v>
      </c>
      <c r="AG172">
        <v>36</v>
      </c>
      <c r="AH172">
        <v>90</v>
      </c>
      <c r="AI172">
        <v>123</v>
      </c>
      <c r="AJ172">
        <v>2</v>
      </c>
      <c r="AK172">
        <v>11</v>
      </c>
      <c r="AL172" t="s">
        <v>2631</v>
      </c>
      <c r="AM172" t="s">
        <v>2632</v>
      </c>
      <c r="AN172" t="s">
        <v>2633</v>
      </c>
      <c r="AO172" t="s">
        <v>1421</v>
      </c>
      <c r="AP172" t="s">
        <v>2634</v>
      </c>
      <c r="AQ172" t="s">
        <v>74</v>
      </c>
      <c r="AR172" t="s">
        <v>1422</v>
      </c>
      <c r="AS172" t="s">
        <v>1423</v>
      </c>
      <c r="AT172" t="s">
        <v>2079</v>
      </c>
      <c r="AU172">
        <v>2001</v>
      </c>
      <c r="AV172">
        <v>139</v>
      </c>
      <c r="AW172">
        <v>4</v>
      </c>
      <c r="AX172" t="s">
        <v>74</v>
      </c>
      <c r="AY172" t="s">
        <v>74</v>
      </c>
      <c r="AZ172" t="s">
        <v>74</v>
      </c>
      <c r="BA172" t="s">
        <v>74</v>
      </c>
      <c r="BB172">
        <v>671</v>
      </c>
      <c r="BC172">
        <v>679</v>
      </c>
      <c r="BD172" t="s">
        <v>74</v>
      </c>
      <c r="BE172" t="s">
        <v>74</v>
      </c>
      <c r="BF172" t="s">
        <v>74</v>
      </c>
      <c r="BG172" t="s">
        <v>74</v>
      </c>
      <c r="BH172" t="s">
        <v>74</v>
      </c>
      <c r="BI172">
        <v>9</v>
      </c>
      <c r="BJ172" t="s">
        <v>323</v>
      </c>
      <c r="BK172" t="s">
        <v>88</v>
      </c>
      <c r="BL172" t="s">
        <v>323</v>
      </c>
      <c r="BM172" t="s">
        <v>2635</v>
      </c>
      <c r="BN172" t="s">
        <v>74</v>
      </c>
      <c r="BO172" t="s">
        <v>74</v>
      </c>
      <c r="BP172" t="s">
        <v>74</v>
      </c>
      <c r="BQ172" t="s">
        <v>74</v>
      </c>
      <c r="BR172" t="s">
        <v>91</v>
      </c>
      <c r="BS172" t="s">
        <v>2636</v>
      </c>
      <c r="BT172" t="str">
        <f>HYPERLINK("https%3A%2F%2Fwww.webofscience.com%2Fwos%2Fwoscc%2Ffull-record%2FWOS:000171859200008","View Full Record in Web of Science")</f>
        <v>View Full Record in Web of Science</v>
      </c>
    </row>
    <row r="173" spans="1:72" x14ac:dyDescent="0.15">
      <c r="A173" t="s">
        <v>72</v>
      </c>
      <c r="B173" t="s">
        <v>2637</v>
      </c>
      <c r="C173" t="s">
        <v>74</v>
      </c>
      <c r="D173" t="s">
        <v>74</v>
      </c>
      <c r="E173" t="s">
        <v>74</v>
      </c>
      <c r="F173" t="s">
        <v>2637</v>
      </c>
      <c r="G173" t="s">
        <v>74</v>
      </c>
      <c r="H173" t="s">
        <v>74</v>
      </c>
      <c r="I173" t="s">
        <v>2638</v>
      </c>
      <c r="J173" t="s">
        <v>1428</v>
      </c>
      <c r="K173" t="s">
        <v>74</v>
      </c>
      <c r="L173" t="s">
        <v>74</v>
      </c>
      <c r="M173" t="s">
        <v>77</v>
      </c>
      <c r="N173" t="s">
        <v>120</v>
      </c>
      <c r="O173" t="s">
        <v>74</v>
      </c>
      <c r="P173" t="s">
        <v>74</v>
      </c>
      <c r="Q173" t="s">
        <v>74</v>
      </c>
      <c r="R173" t="s">
        <v>74</v>
      </c>
      <c r="S173" t="s">
        <v>74</v>
      </c>
      <c r="T173" t="s">
        <v>2639</v>
      </c>
      <c r="U173" t="s">
        <v>2640</v>
      </c>
      <c r="V173" t="s">
        <v>2641</v>
      </c>
      <c r="W173" t="s">
        <v>2642</v>
      </c>
      <c r="X173" t="s">
        <v>2643</v>
      </c>
      <c r="Y173" t="s">
        <v>2644</v>
      </c>
      <c r="Z173" t="s">
        <v>74</v>
      </c>
      <c r="AA173" t="s">
        <v>2645</v>
      </c>
      <c r="AB173" t="s">
        <v>2646</v>
      </c>
      <c r="AC173" t="s">
        <v>74</v>
      </c>
      <c r="AD173" t="s">
        <v>74</v>
      </c>
      <c r="AE173" t="s">
        <v>74</v>
      </c>
      <c r="AF173" t="s">
        <v>74</v>
      </c>
      <c r="AG173">
        <v>73</v>
      </c>
      <c r="AH173">
        <v>130</v>
      </c>
      <c r="AI173">
        <v>146</v>
      </c>
      <c r="AJ173">
        <v>1</v>
      </c>
      <c r="AK173">
        <v>80</v>
      </c>
      <c r="AL173" t="s">
        <v>488</v>
      </c>
      <c r="AM173" t="s">
        <v>350</v>
      </c>
      <c r="AN173" t="s">
        <v>489</v>
      </c>
      <c r="AO173" t="s">
        <v>1437</v>
      </c>
      <c r="AP173" t="s">
        <v>74</v>
      </c>
      <c r="AQ173" t="s">
        <v>74</v>
      </c>
      <c r="AR173" t="s">
        <v>1438</v>
      </c>
      <c r="AS173" t="s">
        <v>1439</v>
      </c>
      <c r="AT173" t="s">
        <v>2079</v>
      </c>
      <c r="AU173">
        <v>2001</v>
      </c>
      <c r="AV173">
        <v>76</v>
      </c>
      <c r="AW173" t="s">
        <v>495</v>
      </c>
      <c r="AX173" t="s">
        <v>74</v>
      </c>
      <c r="AY173" t="s">
        <v>74</v>
      </c>
      <c r="AZ173" t="s">
        <v>74</v>
      </c>
      <c r="BA173" t="s">
        <v>74</v>
      </c>
      <c r="BB173">
        <v>77</v>
      </c>
      <c r="BC173">
        <v>98</v>
      </c>
      <c r="BD173" t="s">
        <v>74</v>
      </c>
      <c r="BE173" t="s">
        <v>2647</v>
      </c>
      <c r="BF173" t="str">
        <f>HYPERLINK("http://dx.doi.org/10.1016/S0304-4203(01)00049-4","http://dx.doi.org/10.1016/S0304-4203(01)00049-4")</f>
        <v>http://dx.doi.org/10.1016/S0304-4203(01)00049-4</v>
      </c>
      <c r="BG173" t="s">
        <v>74</v>
      </c>
      <c r="BH173" t="s">
        <v>74</v>
      </c>
      <c r="BI173">
        <v>22</v>
      </c>
      <c r="BJ173" t="s">
        <v>1441</v>
      </c>
      <c r="BK173" t="s">
        <v>88</v>
      </c>
      <c r="BL173" t="s">
        <v>1442</v>
      </c>
      <c r="BM173" t="s">
        <v>2648</v>
      </c>
      <c r="BN173" t="s">
        <v>74</v>
      </c>
      <c r="BO173" t="s">
        <v>761</v>
      </c>
      <c r="BP173" t="s">
        <v>74</v>
      </c>
      <c r="BQ173" t="s">
        <v>74</v>
      </c>
      <c r="BR173" t="s">
        <v>91</v>
      </c>
      <c r="BS173" t="s">
        <v>2649</v>
      </c>
      <c r="BT173" t="str">
        <f>HYPERLINK("https%3A%2F%2Fwww.webofscience.com%2Fwos%2Fwoscc%2Ffull-record%2FWOS:000171665800006","View Full Record in Web of Science")</f>
        <v>View Full Record in Web of Science</v>
      </c>
    </row>
    <row r="174" spans="1:72" x14ac:dyDescent="0.15">
      <c r="A174" t="s">
        <v>72</v>
      </c>
      <c r="B174" t="s">
        <v>2650</v>
      </c>
      <c r="C174" t="s">
        <v>74</v>
      </c>
      <c r="D174" t="s">
        <v>74</v>
      </c>
      <c r="E174" t="s">
        <v>74</v>
      </c>
      <c r="F174" t="s">
        <v>2650</v>
      </c>
      <c r="G174" t="s">
        <v>74</v>
      </c>
      <c r="H174" t="s">
        <v>74</v>
      </c>
      <c r="I174" t="s">
        <v>2651</v>
      </c>
      <c r="J174" t="s">
        <v>2652</v>
      </c>
      <c r="K174" t="s">
        <v>74</v>
      </c>
      <c r="L174" t="s">
        <v>74</v>
      </c>
      <c r="M174" t="s">
        <v>77</v>
      </c>
      <c r="N174" t="s">
        <v>120</v>
      </c>
      <c r="O174" t="s">
        <v>74</v>
      </c>
      <c r="P174" t="s">
        <v>74</v>
      </c>
      <c r="Q174" t="s">
        <v>74</v>
      </c>
      <c r="R174" t="s">
        <v>74</v>
      </c>
      <c r="S174" t="s">
        <v>74</v>
      </c>
      <c r="T174" t="s">
        <v>2653</v>
      </c>
      <c r="U174" t="s">
        <v>2654</v>
      </c>
      <c r="V174" t="s">
        <v>2655</v>
      </c>
      <c r="W174" t="s">
        <v>2656</v>
      </c>
      <c r="X174" t="s">
        <v>2657</v>
      </c>
      <c r="Y174" t="s">
        <v>2658</v>
      </c>
      <c r="Z174" t="s">
        <v>74</v>
      </c>
      <c r="AA174" t="s">
        <v>2659</v>
      </c>
      <c r="AB174" t="s">
        <v>74</v>
      </c>
      <c r="AC174" t="s">
        <v>74</v>
      </c>
      <c r="AD174" t="s">
        <v>74</v>
      </c>
      <c r="AE174" t="s">
        <v>74</v>
      </c>
      <c r="AF174" t="s">
        <v>74</v>
      </c>
      <c r="AG174">
        <v>44</v>
      </c>
      <c r="AH174">
        <v>17</v>
      </c>
      <c r="AI174">
        <v>20</v>
      </c>
      <c r="AJ174">
        <v>1</v>
      </c>
      <c r="AK174">
        <v>20</v>
      </c>
      <c r="AL174" t="s">
        <v>2660</v>
      </c>
      <c r="AM174" t="s">
        <v>994</v>
      </c>
      <c r="AN174" t="s">
        <v>2661</v>
      </c>
      <c r="AO174" t="s">
        <v>2662</v>
      </c>
      <c r="AP174" t="s">
        <v>74</v>
      </c>
      <c r="AQ174" t="s">
        <v>74</v>
      </c>
      <c r="AR174" t="s">
        <v>2663</v>
      </c>
      <c r="AS174" t="s">
        <v>2664</v>
      </c>
      <c r="AT174" t="s">
        <v>2079</v>
      </c>
      <c r="AU174">
        <v>2001</v>
      </c>
      <c r="AV174">
        <v>17</v>
      </c>
      <c r="AW174">
        <v>4</v>
      </c>
      <c r="AX174" t="s">
        <v>74</v>
      </c>
      <c r="AY174" t="s">
        <v>74</v>
      </c>
      <c r="AZ174" t="s">
        <v>74</v>
      </c>
      <c r="BA174" t="s">
        <v>74</v>
      </c>
      <c r="BB174">
        <v>873</v>
      </c>
      <c r="BC174">
        <v>887</v>
      </c>
      <c r="BD174" t="s">
        <v>74</v>
      </c>
      <c r="BE174" t="s">
        <v>2665</v>
      </c>
      <c r="BF174" t="str">
        <f>HYPERLINK("http://dx.doi.org/10.1111/j.1748-7692.2001.tb01303.x","http://dx.doi.org/10.1111/j.1748-7692.2001.tb01303.x")</f>
        <v>http://dx.doi.org/10.1111/j.1748-7692.2001.tb01303.x</v>
      </c>
      <c r="BG174" t="s">
        <v>74</v>
      </c>
      <c r="BH174" t="s">
        <v>74</v>
      </c>
      <c r="BI174">
        <v>15</v>
      </c>
      <c r="BJ174" t="s">
        <v>2666</v>
      </c>
      <c r="BK174" t="s">
        <v>88</v>
      </c>
      <c r="BL174" t="s">
        <v>2666</v>
      </c>
      <c r="BM174" t="s">
        <v>2667</v>
      </c>
      <c r="BN174" t="s">
        <v>74</v>
      </c>
      <c r="BO174" t="s">
        <v>74</v>
      </c>
      <c r="BP174" t="s">
        <v>74</v>
      </c>
      <c r="BQ174" t="s">
        <v>74</v>
      </c>
      <c r="BR174" t="s">
        <v>91</v>
      </c>
      <c r="BS174" t="s">
        <v>2668</v>
      </c>
      <c r="BT174" t="str">
        <f>HYPERLINK("https%3A%2F%2Fwww.webofscience.com%2Fwos%2Fwoscc%2Ffull-record%2FWOS:000171809200012","View Full Record in Web of Science")</f>
        <v>View Full Record in Web of Science</v>
      </c>
    </row>
    <row r="175" spans="1:72" x14ac:dyDescent="0.15">
      <c r="A175" t="s">
        <v>72</v>
      </c>
      <c r="B175" t="s">
        <v>2669</v>
      </c>
      <c r="C175" t="s">
        <v>74</v>
      </c>
      <c r="D175" t="s">
        <v>74</v>
      </c>
      <c r="E175" t="s">
        <v>74</v>
      </c>
      <c r="F175" t="s">
        <v>2669</v>
      </c>
      <c r="G175" t="s">
        <v>74</v>
      </c>
      <c r="H175" t="s">
        <v>74</v>
      </c>
      <c r="I175" t="s">
        <v>2670</v>
      </c>
      <c r="J175" t="s">
        <v>2671</v>
      </c>
      <c r="K175" t="s">
        <v>74</v>
      </c>
      <c r="L175" t="s">
        <v>74</v>
      </c>
      <c r="M175" t="s">
        <v>77</v>
      </c>
      <c r="N175" t="s">
        <v>120</v>
      </c>
      <c r="O175" t="s">
        <v>74</v>
      </c>
      <c r="P175" t="s">
        <v>74</v>
      </c>
      <c r="Q175" t="s">
        <v>74</v>
      </c>
      <c r="R175" t="s">
        <v>74</v>
      </c>
      <c r="S175" t="s">
        <v>74</v>
      </c>
      <c r="T175" t="s">
        <v>74</v>
      </c>
      <c r="U175" t="s">
        <v>2672</v>
      </c>
      <c r="V175" t="s">
        <v>2673</v>
      </c>
      <c r="W175" t="s">
        <v>2674</v>
      </c>
      <c r="X175" t="s">
        <v>2675</v>
      </c>
      <c r="Y175" t="s">
        <v>74</v>
      </c>
      <c r="Z175" t="s">
        <v>2676</v>
      </c>
      <c r="AA175" t="s">
        <v>2677</v>
      </c>
      <c r="AB175" t="s">
        <v>2678</v>
      </c>
      <c r="AC175" t="s">
        <v>74</v>
      </c>
      <c r="AD175" t="s">
        <v>74</v>
      </c>
      <c r="AE175" t="s">
        <v>74</v>
      </c>
      <c r="AF175" t="s">
        <v>74</v>
      </c>
      <c r="AG175">
        <v>46</v>
      </c>
      <c r="AH175">
        <v>43</v>
      </c>
      <c r="AI175">
        <v>46</v>
      </c>
      <c r="AJ175">
        <v>2</v>
      </c>
      <c r="AK175">
        <v>13</v>
      </c>
      <c r="AL175" t="s">
        <v>248</v>
      </c>
      <c r="AM175" t="s">
        <v>204</v>
      </c>
      <c r="AN175" t="s">
        <v>249</v>
      </c>
      <c r="AO175" t="s">
        <v>2679</v>
      </c>
      <c r="AP175" t="s">
        <v>2680</v>
      </c>
      <c r="AQ175" t="s">
        <v>74</v>
      </c>
      <c r="AR175" t="s">
        <v>2681</v>
      </c>
      <c r="AS175" t="s">
        <v>2682</v>
      </c>
      <c r="AT175" t="s">
        <v>2079</v>
      </c>
      <c r="AU175">
        <v>2001</v>
      </c>
      <c r="AV175">
        <v>42</v>
      </c>
      <c r="AW175">
        <v>3</v>
      </c>
      <c r="AX175" t="s">
        <v>74</v>
      </c>
      <c r="AY175" t="s">
        <v>74</v>
      </c>
      <c r="AZ175" t="s">
        <v>74</v>
      </c>
      <c r="BA175" t="s">
        <v>74</v>
      </c>
      <c r="BB175">
        <v>338</v>
      </c>
      <c r="BC175">
        <v>349</v>
      </c>
      <c r="BD175" t="s">
        <v>74</v>
      </c>
      <c r="BE175" t="s">
        <v>2683</v>
      </c>
      <c r="BF175" t="str">
        <f>HYPERLINK("http://dx.doi.org/10.1007/s00248-001-1010-z","http://dx.doi.org/10.1007/s00248-001-1010-z")</f>
        <v>http://dx.doi.org/10.1007/s00248-001-1010-z</v>
      </c>
      <c r="BG175" t="s">
        <v>74</v>
      </c>
      <c r="BH175" t="s">
        <v>74</v>
      </c>
      <c r="BI175">
        <v>12</v>
      </c>
      <c r="BJ175" t="s">
        <v>2684</v>
      </c>
      <c r="BK175" t="s">
        <v>88</v>
      </c>
      <c r="BL175" t="s">
        <v>2685</v>
      </c>
      <c r="BM175" t="s">
        <v>2686</v>
      </c>
      <c r="BN175">
        <v>12024259</v>
      </c>
      <c r="BO175" t="s">
        <v>74</v>
      </c>
      <c r="BP175" t="s">
        <v>74</v>
      </c>
      <c r="BQ175" t="s">
        <v>74</v>
      </c>
      <c r="BR175" t="s">
        <v>91</v>
      </c>
      <c r="BS175" t="s">
        <v>2687</v>
      </c>
      <c r="BT175" t="str">
        <f>HYPERLINK("https%3A%2F%2Fwww.webofscience.com%2Fwos%2Fwoscc%2Ffull-record%2FWOS:000171961000013","View Full Record in Web of Science")</f>
        <v>View Full Record in Web of Science</v>
      </c>
    </row>
    <row r="176" spans="1:72" x14ac:dyDescent="0.15">
      <c r="A176" t="s">
        <v>72</v>
      </c>
      <c r="B176" t="s">
        <v>2688</v>
      </c>
      <c r="C176" t="s">
        <v>74</v>
      </c>
      <c r="D176" t="s">
        <v>74</v>
      </c>
      <c r="E176" t="s">
        <v>74</v>
      </c>
      <c r="F176" t="s">
        <v>2688</v>
      </c>
      <c r="G176" t="s">
        <v>74</v>
      </c>
      <c r="H176" t="s">
        <v>74</v>
      </c>
      <c r="I176" t="s">
        <v>2689</v>
      </c>
      <c r="J176" t="s">
        <v>141</v>
      </c>
      <c r="K176" t="s">
        <v>74</v>
      </c>
      <c r="L176" t="s">
        <v>74</v>
      </c>
      <c r="M176" t="s">
        <v>77</v>
      </c>
      <c r="N176" t="s">
        <v>120</v>
      </c>
      <c r="O176" t="s">
        <v>74</v>
      </c>
      <c r="P176" t="s">
        <v>74</v>
      </c>
      <c r="Q176" t="s">
        <v>74</v>
      </c>
      <c r="R176" t="s">
        <v>74</v>
      </c>
      <c r="S176" t="s">
        <v>74</v>
      </c>
      <c r="T176" t="s">
        <v>74</v>
      </c>
      <c r="U176" t="s">
        <v>2690</v>
      </c>
      <c r="V176" t="s">
        <v>2691</v>
      </c>
      <c r="W176" t="s">
        <v>2692</v>
      </c>
      <c r="X176" t="s">
        <v>2693</v>
      </c>
      <c r="Y176" t="s">
        <v>2694</v>
      </c>
      <c r="Z176" t="s">
        <v>2695</v>
      </c>
      <c r="AA176" t="s">
        <v>2696</v>
      </c>
      <c r="AB176" t="s">
        <v>2697</v>
      </c>
      <c r="AC176" t="s">
        <v>74</v>
      </c>
      <c r="AD176" t="s">
        <v>74</v>
      </c>
      <c r="AE176" t="s">
        <v>74</v>
      </c>
      <c r="AF176" t="s">
        <v>74</v>
      </c>
      <c r="AG176">
        <v>84</v>
      </c>
      <c r="AH176">
        <v>48</v>
      </c>
      <c r="AI176">
        <v>55</v>
      </c>
      <c r="AJ176">
        <v>1</v>
      </c>
      <c r="AK176">
        <v>16</v>
      </c>
      <c r="AL176" t="s">
        <v>149</v>
      </c>
      <c r="AM176" t="s">
        <v>150</v>
      </c>
      <c r="AN176" t="s">
        <v>151</v>
      </c>
      <c r="AO176" t="s">
        <v>152</v>
      </c>
      <c r="AP176" t="s">
        <v>153</v>
      </c>
      <c r="AQ176" t="s">
        <v>74</v>
      </c>
      <c r="AR176" t="s">
        <v>141</v>
      </c>
      <c r="AS176" t="s">
        <v>154</v>
      </c>
      <c r="AT176" t="s">
        <v>2079</v>
      </c>
      <c r="AU176">
        <v>2001</v>
      </c>
      <c r="AV176">
        <v>16</v>
      </c>
      <c r="AW176">
        <v>5</v>
      </c>
      <c r="AX176" t="s">
        <v>74</v>
      </c>
      <c r="AY176" t="s">
        <v>74</v>
      </c>
      <c r="AZ176" t="s">
        <v>74</v>
      </c>
      <c r="BA176" t="s">
        <v>74</v>
      </c>
      <c r="BB176">
        <v>445</v>
      </c>
      <c r="BC176">
        <v>454</v>
      </c>
      <c r="BD176" t="s">
        <v>74</v>
      </c>
      <c r="BE176" t="s">
        <v>2698</v>
      </c>
      <c r="BF176" t="str">
        <f>HYPERLINK("http://dx.doi.org/10.1029/2000PA000549","http://dx.doi.org/10.1029/2000PA000549")</f>
        <v>http://dx.doi.org/10.1029/2000PA000549</v>
      </c>
      <c r="BG176" t="s">
        <v>74</v>
      </c>
      <c r="BH176" t="s">
        <v>74</v>
      </c>
      <c r="BI176">
        <v>10</v>
      </c>
      <c r="BJ176" t="s">
        <v>156</v>
      </c>
      <c r="BK176" t="s">
        <v>88</v>
      </c>
      <c r="BL176" t="s">
        <v>157</v>
      </c>
      <c r="BM176" t="s">
        <v>2699</v>
      </c>
      <c r="BN176" t="s">
        <v>74</v>
      </c>
      <c r="BO176" t="s">
        <v>171</v>
      </c>
      <c r="BP176" t="s">
        <v>74</v>
      </c>
      <c r="BQ176" t="s">
        <v>74</v>
      </c>
      <c r="BR176" t="s">
        <v>91</v>
      </c>
      <c r="BS176" t="s">
        <v>2700</v>
      </c>
      <c r="BT176" t="str">
        <f>HYPERLINK("https%3A%2F%2Fwww.webofscience.com%2Fwos%2Fwoscc%2Ffull-record%2FWOS:000171072800001","View Full Record in Web of Science")</f>
        <v>View Full Record in Web of Science</v>
      </c>
    </row>
    <row r="177" spans="1:72" x14ac:dyDescent="0.15">
      <c r="A177" t="s">
        <v>72</v>
      </c>
      <c r="B177" t="s">
        <v>2701</v>
      </c>
      <c r="C177" t="s">
        <v>74</v>
      </c>
      <c r="D177" t="s">
        <v>74</v>
      </c>
      <c r="E177" t="s">
        <v>74</v>
      </c>
      <c r="F177" t="s">
        <v>2701</v>
      </c>
      <c r="G177" t="s">
        <v>74</v>
      </c>
      <c r="H177" t="s">
        <v>74</v>
      </c>
      <c r="I177" t="s">
        <v>2702</v>
      </c>
      <c r="J177" t="s">
        <v>141</v>
      </c>
      <c r="K177" t="s">
        <v>74</v>
      </c>
      <c r="L177" t="s">
        <v>74</v>
      </c>
      <c r="M177" t="s">
        <v>77</v>
      </c>
      <c r="N177" t="s">
        <v>120</v>
      </c>
      <c r="O177" t="s">
        <v>74</v>
      </c>
      <c r="P177" t="s">
        <v>74</v>
      </c>
      <c r="Q177" t="s">
        <v>74</v>
      </c>
      <c r="R177" t="s">
        <v>74</v>
      </c>
      <c r="S177" t="s">
        <v>74</v>
      </c>
      <c r="T177" t="s">
        <v>74</v>
      </c>
      <c r="U177" t="s">
        <v>2703</v>
      </c>
      <c r="V177" t="s">
        <v>2704</v>
      </c>
      <c r="W177" t="s">
        <v>2705</v>
      </c>
      <c r="X177" t="s">
        <v>2693</v>
      </c>
      <c r="Y177" t="s">
        <v>2706</v>
      </c>
      <c r="Z177" t="s">
        <v>74</v>
      </c>
      <c r="AA177" t="s">
        <v>2707</v>
      </c>
      <c r="AB177" t="s">
        <v>2708</v>
      </c>
      <c r="AC177" t="s">
        <v>74</v>
      </c>
      <c r="AD177" t="s">
        <v>74</v>
      </c>
      <c r="AE177" t="s">
        <v>74</v>
      </c>
      <c r="AF177" t="s">
        <v>74</v>
      </c>
      <c r="AG177">
        <v>83</v>
      </c>
      <c r="AH177">
        <v>72</v>
      </c>
      <c r="AI177">
        <v>81</v>
      </c>
      <c r="AJ177">
        <v>0</v>
      </c>
      <c r="AK177">
        <v>25</v>
      </c>
      <c r="AL177" t="s">
        <v>149</v>
      </c>
      <c r="AM177" t="s">
        <v>150</v>
      </c>
      <c r="AN177" t="s">
        <v>151</v>
      </c>
      <c r="AO177" t="s">
        <v>152</v>
      </c>
      <c r="AP177" t="s">
        <v>74</v>
      </c>
      <c r="AQ177" t="s">
        <v>74</v>
      </c>
      <c r="AR177" t="s">
        <v>141</v>
      </c>
      <c r="AS177" t="s">
        <v>154</v>
      </c>
      <c r="AT177" t="s">
        <v>2079</v>
      </c>
      <c r="AU177">
        <v>2001</v>
      </c>
      <c r="AV177">
        <v>16</v>
      </c>
      <c r="AW177">
        <v>5</v>
      </c>
      <c r="AX177" t="s">
        <v>74</v>
      </c>
      <c r="AY177" t="s">
        <v>74</v>
      </c>
      <c r="AZ177" t="s">
        <v>74</v>
      </c>
      <c r="BA177" t="s">
        <v>74</v>
      </c>
      <c r="BB177">
        <v>468</v>
      </c>
      <c r="BC177">
        <v>478</v>
      </c>
      <c r="BD177" t="s">
        <v>74</v>
      </c>
      <c r="BE177" t="s">
        <v>2709</v>
      </c>
      <c r="BF177" t="str">
        <f>HYPERLINK("http://dx.doi.org/10.1029/2000PA000542","http://dx.doi.org/10.1029/2000PA000542")</f>
        <v>http://dx.doi.org/10.1029/2000PA000542</v>
      </c>
      <c r="BG177" t="s">
        <v>74</v>
      </c>
      <c r="BH177" t="s">
        <v>74</v>
      </c>
      <c r="BI177">
        <v>11</v>
      </c>
      <c r="BJ177" t="s">
        <v>156</v>
      </c>
      <c r="BK177" t="s">
        <v>88</v>
      </c>
      <c r="BL177" t="s">
        <v>157</v>
      </c>
      <c r="BM177" t="s">
        <v>2699</v>
      </c>
      <c r="BN177" t="s">
        <v>74</v>
      </c>
      <c r="BO177" t="s">
        <v>2710</v>
      </c>
      <c r="BP177" t="s">
        <v>74</v>
      </c>
      <c r="BQ177" t="s">
        <v>74</v>
      </c>
      <c r="BR177" t="s">
        <v>91</v>
      </c>
      <c r="BS177" t="s">
        <v>2711</v>
      </c>
      <c r="BT177" t="str">
        <f>HYPERLINK("https%3A%2F%2Fwww.webofscience.com%2Fwos%2Fwoscc%2Ffull-record%2FWOS:000171072800003","View Full Record in Web of Science")</f>
        <v>View Full Record in Web of Science</v>
      </c>
    </row>
    <row r="178" spans="1:72" x14ac:dyDescent="0.15">
      <c r="A178" t="s">
        <v>72</v>
      </c>
      <c r="B178" t="s">
        <v>2712</v>
      </c>
      <c r="C178" t="s">
        <v>74</v>
      </c>
      <c r="D178" t="s">
        <v>74</v>
      </c>
      <c r="E178" t="s">
        <v>74</v>
      </c>
      <c r="F178" t="s">
        <v>2712</v>
      </c>
      <c r="G178" t="s">
        <v>74</v>
      </c>
      <c r="H178" t="s">
        <v>74</v>
      </c>
      <c r="I178" t="s">
        <v>2713</v>
      </c>
      <c r="J178" t="s">
        <v>2714</v>
      </c>
      <c r="K178" t="s">
        <v>74</v>
      </c>
      <c r="L178" t="s">
        <v>74</v>
      </c>
      <c r="M178" t="s">
        <v>77</v>
      </c>
      <c r="N178" t="s">
        <v>120</v>
      </c>
      <c r="O178" t="s">
        <v>74</v>
      </c>
      <c r="P178" t="s">
        <v>74</v>
      </c>
      <c r="Q178" t="s">
        <v>74</v>
      </c>
      <c r="R178" t="s">
        <v>74</v>
      </c>
      <c r="S178" t="s">
        <v>74</v>
      </c>
      <c r="T178" t="s">
        <v>74</v>
      </c>
      <c r="U178" t="s">
        <v>2715</v>
      </c>
      <c r="V178" t="s">
        <v>2716</v>
      </c>
      <c r="W178" t="s">
        <v>2717</v>
      </c>
      <c r="X178" t="s">
        <v>2718</v>
      </c>
      <c r="Y178" t="s">
        <v>2719</v>
      </c>
      <c r="Z178" t="s">
        <v>2720</v>
      </c>
      <c r="AA178" t="s">
        <v>2721</v>
      </c>
      <c r="AB178" t="s">
        <v>2722</v>
      </c>
      <c r="AC178" t="s">
        <v>74</v>
      </c>
      <c r="AD178" t="s">
        <v>74</v>
      </c>
      <c r="AE178" t="s">
        <v>74</v>
      </c>
      <c r="AF178" t="s">
        <v>74</v>
      </c>
      <c r="AG178">
        <v>39</v>
      </c>
      <c r="AH178">
        <v>31</v>
      </c>
      <c r="AI178">
        <v>34</v>
      </c>
      <c r="AJ178">
        <v>1</v>
      </c>
      <c r="AK178">
        <v>5</v>
      </c>
      <c r="AL178" t="s">
        <v>1247</v>
      </c>
      <c r="AM178" t="s">
        <v>1248</v>
      </c>
      <c r="AN178" t="s">
        <v>1249</v>
      </c>
      <c r="AO178" t="s">
        <v>2723</v>
      </c>
      <c r="AP178" t="s">
        <v>2724</v>
      </c>
      <c r="AQ178" t="s">
        <v>74</v>
      </c>
      <c r="AR178" t="s">
        <v>2725</v>
      </c>
      <c r="AS178" t="s">
        <v>2726</v>
      </c>
      <c r="AT178" t="s">
        <v>2079</v>
      </c>
      <c r="AU178">
        <v>2001</v>
      </c>
      <c r="AV178">
        <v>74</v>
      </c>
      <c r="AW178">
        <v>4</v>
      </c>
      <c r="AX178" t="s">
        <v>74</v>
      </c>
      <c r="AY178" t="s">
        <v>74</v>
      </c>
      <c r="AZ178" t="s">
        <v>74</v>
      </c>
      <c r="BA178" t="s">
        <v>74</v>
      </c>
      <c r="BB178">
        <v>570</v>
      </c>
      <c r="BC178">
        <v>578</v>
      </c>
      <c r="BD178" t="s">
        <v>74</v>
      </c>
      <c r="BE178" t="s">
        <v>2727</v>
      </c>
      <c r="BF178" t="str">
        <f>HYPERLINK("http://dx.doi.org/10.1562/0031-8655(2001)074&lt;0570:EOAFST&gt;2.0.CO;2","http://dx.doi.org/10.1562/0031-8655(2001)074&lt;0570:EOAFST&gt;2.0.CO;2")</f>
        <v>http://dx.doi.org/10.1562/0031-8655(2001)074&lt;0570:EOAFST&gt;2.0.CO;2</v>
      </c>
      <c r="BG178" t="s">
        <v>74</v>
      </c>
      <c r="BH178" t="s">
        <v>74</v>
      </c>
      <c r="BI178">
        <v>9</v>
      </c>
      <c r="BJ178" t="s">
        <v>2728</v>
      </c>
      <c r="BK178" t="s">
        <v>88</v>
      </c>
      <c r="BL178" t="s">
        <v>2728</v>
      </c>
      <c r="BM178" t="s">
        <v>2729</v>
      </c>
      <c r="BN178">
        <v>11683037</v>
      </c>
      <c r="BO178" t="s">
        <v>74</v>
      </c>
      <c r="BP178" t="s">
        <v>74</v>
      </c>
      <c r="BQ178" t="s">
        <v>74</v>
      </c>
      <c r="BR178" t="s">
        <v>91</v>
      </c>
      <c r="BS178" t="s">
        <v>2730</v>
      </c>
      <c r="BT178" t="str">
        <f>HYPERLINK("https%3A%2F%2Fwww.webofscience.com%2Fwos%2Fwoscc%2Ffull-record%2FWOS:000171786700009","View Full Record in Web of Science")</f>
        <v>View Full Record in Web of Science</v>
      </c>
    </row>
    <row r="179" spans="1:72" x14ac:dyDescent="0.15">
      <c r="A179" t="s">
        <v>72</v>
      </c>
      <c r="B179" t="s">
        <v>2731</v>
      </c>
      <c r="C179" t="s">
        <v>74</v>
      </c>
      <c r="D179" t="s">
        <v>74</v>
      </c>
      <c r="E179" t="s">
        <v>74</v>
      </c>
      <c r="F179" t="s">
        <v>2731</v>
      </c>
      <c r="G179" t="s">
        <v>74</v>
      </c>
      <c r="H179" t="s">
        <v>74</v>
      </c>
      <c r="I179" t="s">
        <v>2732</v>
      </c>
      <c r="J179" t="s">
        <v>2733</v>
      </c>
      <c r="K179" t="s">
        <v>74</v>
      </c>
      <c r="L179" t="s">
        <v>74</v>
      </c>
      <c r="M179" t="s">
        <v>77</v>
      </c>
      <c r="N179" t="s">
        <v>120</v>
      </c>
      <c r="O179" t="s">
        <v>74</v>
      </c>
      <c r="P179" t="s">
        <v>74</v>
      </c>
      <c r="Q179" t="s">
        <v>74</v>
      </c>
      <c r="R179" t="s">
        <v>74</v>
      </c>
      <c r="S179" t="s">
        <v>74</v>
      </c>
      <c r="T179" t="s">
        <v>2734</v>
      </c>
      <c r="U179" t="s">
        <v>2735</v>
      </c>
      <c r="V179" t="s">
        <v>2736</v>
      </c>
      <c r="W179" t="s">
        <v>2737</v>
      </c>
      <c r="X179" t="s">
        <v>2738</v>
      </c>
      <c r="Y179" t="s">
        <v>2739</v>
      </c>
      <c r="Z179" t="s">
        <v>74</v>
      </c>
      <c r="AA179" t="s">
        <v>74</v>
      </c>
      <c r="AB179" t="s">
        <v>74</v>
      </c>
      <c r="AC179" t="s">
        <v>74</v>
      </c>
      <c r="AD179" t="s">
        <v>74</v>
      </c>
      <c r="AE179" t="s">
        <v>74</v>
      </c>
      <c r="AF179" t="s">
        <v>74</v>
      </c>
      <c r="AG179">
        <v>13</v>
      </c>
      <c r="AH179">
        <v>12</v>
      </c>
      <c r="AI179">
        <v>12</v>
      </c>
      <c r="AJ179">
        <v>0</v>
      </c>
      <c r="AK179">
        <v>4</v>
      </c>
      <c r="AL179" t="s">
        <v>2740</v>
      </c>
      <c r="AM179" t="s">
        <v>683</v>
      </c>
      <c r="AN179" t="s">
        <v>2741</v>
      </c>
      <c r="AO179" t="s">
        <v>2742</v>
      </c>
      <c r="AP179" t="s">
        <v>74</v>
      </c>
      <c r="AQ179" t="s">
        <v>74</v>
      </c>
      <c r="AR179" t="s">
        <v>2743</v>
      </c>
      <c r="AS179" t="s">
        <v>2744</v>
      </c>
      <c r="AT179" t="s">
        <v>2079</v>
      </c>
      <c r="AU179">
        <v>2001</v>
      </c>
      <c r="AV179">
        <v>17</v>
      </c>
      <c r="AW179">
        <v>98</v>
      </c>
      <c r="AX179" t="s">
        <v>74</v>
      </c>
      <c r="AY179" t="s">
        <v>74</v>
      </c>
      <c r="AZ179" t="s">
        <v>74</v>
      </c>
      <c r="BA179" t="s">
        <v>74</v>
      </c>
      <c r="BB179">
        <v>275</v>
      </c>
      <c r="BC179">
        <v>290</v>
      </c>
      <c r="BD179" t="s">
        <v>74</v>
      </c>
      <c r="BE179" t="s">
        <v>2745</v>
      </c>
      <c r="BF179" t="str">
        <f>HYPERLINK("http://dx.doi.org/10.1111/0031-868X.00183","http://dx.doi.org/10.1111/0031-868X.00183")</f>
        <v>http://dx.doi.org/10.1111/0031-868X.00183</v>
      </c>
      <c r="BG179" t="s">
        <v>74</v>
      </c>
      <c r="BH179" t="s">
        <v>74</v>
      </c>
      <c r="BI179">
        <v>16</v>
      </c>
      <c r="BJ179" t="s">
        <v>2746</v>
      </c>
      <c r="BK179" t="s">
        <v>88</v>
      </c>
      <c r="BL179" t="s">
        <v>2747</v>
      </c>
      <c r="BM179" t="s">
        <v>2748</v>
      </c>
      <c r="BN179" t="s">
        <v>74</v>
      </c>
      <c r="BO179" t="s">
        <v>74</v>
      </c>
      <c r="BP179" t="s">
        <v>74</v>
      </c>
      <c r="BQ179" t="s">
        <v>74</v>
      </c>
      <c r="BR179" t="s">
        <v>91</v>
      </c>
      <c r="BS179" t="s">
        <v>2749</v>
      </c>
      <c r="BT179" t="str">
        <f>HYPERLINK("https%3A%2F%2Fwww.webofscience.com%2Fwos%2Fwoscc%2Ffull-record%2FWOS:000175775200005","View Full Record in Web of Science")</f>
        <v>View Full Record in Web of Science</v>
      </c>
    </row>
    <row r="180" spans="1:72" x14ac:dyDescent="0.15">
      <c r="A180" t="s">
        <v>72</v>
      </c>
      <c r="B180" t="s">
        <v>2750</v>
      </c>
      <c r="C180" t="s">
        <v>74</v>
      </c>
      <c r="D180" t="s">
        <v>74</v>
      </c>
      <c r="E180" t="s">
        <v>74</v>
      </c>
      <c r="F180" t="s">
        <v>2750</v>
      </c>
      <c r="G180" t="s">
        <v>74</v>
      </c>
      <c r="H180" t="s">
        <v>74</v>
      </c>
      <c r="I180" t="s">
        <v>2751</v>
      </c>
      <c r="J180" t="s">
        <v>2752</v>
      </c>
      <c r="K180" t="s">
        <v>74</v>
      </c>
      <c r="L180" t="s">
        <v>74</v>
      </c>
      <c r="M180" t="s">
        <v>77</v>
      </c>
      <c r="N180" t="s">
        <v>435</v>
      </c>
      <c r="O180" t="s">
        <v>2753</v>
      </c>
      <c r="P180" t="s">
        <v>2754</v>
      </c>
      <c r="Q180" t="s">
        <v>2755</v>
      </c>
      <c r="R180" t="s">
        <v>74</v>
      </c>
      <c r="S180" t="s">
        <v>74</v>
      </c>
      <c r="T180" t="s">
        <v>74</v>
      </c>
      <c r="U180" t="s">
        <v>2756</v>
      </c>
      <c r="V180" t="s">
        <v>2757</v>
      </c>
      <c r="W180" t="s">
        <v>2758</v>
      </c>
      <c r="X180" t="s">
        <v>2759</v>
      </c>
      <c r="Y180" t="s">
        <v>2760</v>
      </c>
      <c r="Z180" t="s">
        <v>2761</v>
      </c>
      <c r="AA180" t="s">
        <v>2762</v>
      </c>
      <c r="AB180" t="s">
        <v>2763</v>
      </c>
      <c r="AC180" t="s">
        <v>74</v>
      </c>
      <c r="AD180" t="s">
        <v>74</v>
      </c>
      <c r="AE180" t="s">
        <v>74</v>
      </c>
      <c r="AF180" t="s">
        <v>74</v>
      </c>
      <c r="AG180">
        <v>28</v>
      </c>
      <c r="AH180">
        <v>8</v>
      </c>
      <c r="AI180">
        <v>8</v>
      </c>
      <c r="AJ180">
        <v>0</v>
      </c>
      <c r="AK180">
        <v>0</v>
      </c>
      <c r="AL180" t="s">
        <v>79</v>
      </c>
      <c r="AM180" t="s">
        <v>80</v>
      </c>
      <c r="AN180" t="s">
        <v>81</v>
      </c>
      <c r="AO180" t="s">
        <v>2764</v>
      </c>
      <c r="AP180" t="s">
        <v>74</v>
      </c>
      <c r="AQ180" t="s">
        <v>74</v>
      </c>
      <c r="AR180" t="s">
        <v>2765</v>
      </c>
      <c r="AS180" t="s">
        <v>2766</v>
      </c>
      <c r="AT180" t="s">
        <v>2079</v>
      </c>
      <c r="AU180">
        <v>2001</v>
      </c>
      <c r="AV180">
        <v>49</v>
      </c>
      <c r="AW180">
        <v>12</v>
      </c>
      <c r="AX180" t="s">
        <v>74</v>
      </c>
      <c r="AY180" t="s">
        <v>74</v>
      </c>
      <c r="AZ180" t="s">
        <v>74</v>
      </c>
      <c r="BA180" t="s">
        <v>74</v>
      </c>
      <c r="BB180">
        <v>1233</v>
      </c>
      <c r="BC180">
        <v>1237</v>
      </c>
      <c r="BD180" t="s">
        <v>74</v>
      </c>
      <c r="BE180" t="s">
        <v>2767</v>
      </c>
      <c r="BF180" t="str">
        <f>HYPERLINK("http://dx.doi.org/10.1016/S0032-0633(01)00064-2","http://dx.doi.org/10.1016/S0032-0633(01)00064-2")</f>
        <v>http://dx.doi.org/10.1016/S0032-0633(01)00064-2</v>
      </c>
      <c r="BG180" t="s">
        <v>74</v>
      </c>
      <c r="BH180" t="s">
        <v>74</v>
      </c>
      <c r="BI180">
        <v>5</v>
      </c>
      <c r="BJ180" t="s">
        <v>1139</v>
      </c>
      <c r="BK180" t="s">
        <v>816</v>
      </c>
      <c r="BL180" t="s">
        <v>1139</v>
      </c>
      <c r="BM180" t="s">
        <v>2768</v>
      </c>
      <c r="BN180" t="s">
        <v>74</v>
      </c>
      <c r="BO180" t="s">
        <v>74</v>
      </c>
      <c r="BP180" t="s">
        <v>74</v>
      </c>
      <c r="BQ180" t="s">
        <v>74</v>
      </c>
      <c r="BR180" t="s">
        <v>91</v>
      </c>
      <c r="BS180" t="s">
        <v>2769</v>
      </c>
      <c r="BT180" t="str">
        <f>HYPERLINK("https%3A%2F%2Fwww.webofscience.com%2Fwos%2Fwoscc%2Ffull-record%2FWOS:000170663400007","View Full Record in Web of Science")</f>
        <v>View Full Record in Web of Science</v>
      </c>
    </row>
    <row r="181" spans="1:72" x14ac:dyDescent="0.15">
      <c r="A181" t="s">
        <v>72</v>
      </c>
      <c r="B181" t="s">
        <v>2770</v>
      </c>
      <c r="C181" t="s">
        <v>74</v>
      </c>
      <c r="D181" t="s">
        <v>74</v>
      </c>
      <c r="E181" t="s">
        <v>74</v>
      </c>
      <c r="F181" t="s">
        <v>2770</v>
      </c>
      <c r="G181" t="s">
        <v>74</v>
      </c>
      <c r="H181" t="s">
        <v>74</v>
      </c>
      <c r="I181" t="s">
        <v>2771</v>
      </c>
      <c r="J181" t="s">
        <v>194</v>
      </c>
      <c r="K181" t="s">
        <v>74</v>
      </c>
      <c r="L181" t="s">
        <v>74</v>
      </c>
      <c r="M181" t="s">
        <v>77</v>
      </c>
      <c r="N181" t="s">
        <v>120</v>
      </c>
      <c r="O181" t="s">
        <v>74</v>
      </c>
      <c r="P181" t="s">
        <v>74</v>
      </c>
      <c r="Q181" t="s">
        <v>74</v>
      </c>
      <c r="R181" t="s">
        <v>74</v>
      </c>
      <c r="S181" t="s">
        <v>74</v>
      </c>
      <c r="T181" t="s">
        <v>74</v>
      </c>
      <c r="U181" t="s">
        <v>2772</v>
      </c>
      <c r="V181" t="s">
        <v>2773</v>
      </c>
      <c r="W181" t="s">
        <v>1678</v>
      </c>
      <c r="X181" t="s">
        <v>1679</v>
      </c>
      <c r="Y181" t="s">
        <v>2774</v>
      </c>
      <c r="Z181" t="s">
        <v>74</v>
      </c>
      <c r="AA181" t="s">
        <v>2775</v>
      </c>
      <c r="AB181" t="s">
        <v>2776</v>
      </c>
      <c r="AC181" t="s">
        <v>74</v>
      </c>
      <c r="AD181" t="s">
        <v>74</v>
      </c>
      <c r="AE181" t="s">
        <v>74</v>
      </c>
      <c r="AF181" t="s">
        <v>74</v>
      </c>
      <c r="AG181">
        <v>36</v>
      </c>
      <c r="AH181">
        <v>74</v>
      </c>
      <c r="AI181">
        <v>76</v>
      </c>
      <c r="AJ181">
        <v>1</v>
      </c>
      <c r="AK181">
        <v>18</v>
      </c>
      <c r="AL181" t="s">
        <v>203</v>
      </c>
      <c r="AM181" t="s">
        <v>204</v>
      </c>
      <c r="AN181" t="s">
        <v>205</v>
      </c>
      <c r="AO181" t="s">
        <v>206</v>
      </c>
      <c r="AP181" t="s">
        <v>74</v>
      </c>
      <c r="AQ181" t="s">
        <v>74</v>
      </c>
      <c r="AR181" t="s">
        <v>207</v>
      </c>
      <c r="AS181" t="s">
        <v>208</v>
      </c>
      <c r="AT181" t="s">
        <v>2079</v>
      </c>
      <c r="AU181">
        <v>2001</v>
      </c>
      <c r="AV181">
        <v>24</v>
      </c>
      <c r="AW181">
        <v>10</v>
      </c>
      <c r="AX181" t="s">
        <v>74</v>
      </c>
      <c r="AY181" t="s">
        <v>74</v>
      </c>
      <c r="AZ181" t="s">
        <v>74</v>
      </c>
      <c r="BA181" t="s">
        <v>74</v>
      </c>
      <c r="BB181">
        <v>719</v>
      </c>
      <c r="BC181">
        <v>723</v>
      </c>
      <c r="BD181" t="s">
        <v>74</v>
      </c>
      <c r="BE181" t="s">
        <v>2777</v>
      </c>
      <c r="BF181" t="str">
        <f>HYPERLINK("http://dx.doi.org/10.1007/s003000100270","http://dx.doi.org/10.1007/s003000100270")</f>
        <v>http://dx.doi.org/10.1007/s003000100270</v>
      </c>
      <c r="BG181" t="s">
        <v>74</v>
      </c>
      <c r="BH181" t="s">
        <v>74</v>
      </c>
      <c r="BI181">
        <v>5</v>
      </c>
      <c r="BJ181" t="s">
        <v>209</v>
      </c>
      <c r="BK181" t="s">
        <v>88</v>
      </c>
      <c r="BL181" t="s">
        <v>210</v>
      </c>
      <c r="BM181" t="s">
        <v>2778</v>
      </c>
      <c r="BN181" t="s">
        <v>74</v>
      </c>
      <c r="BO181" t="s">
        <v>1685</v>
      </c>
      <c r="BP181" t="s">
        <v>74</v>
      </c>
      <c r="BQ181" t="s">
        <v>74</v>
      </c>
      <c r="BR181" t="s">
        <v>91</v>
      </c>
      <c r="BS181" t="s">
        <v>2779</v>
      </c>
      <c r="BT181" t="str">
        <f>HYPERLINK("https%3A%2F%2Fwww.webofscience.com%2Fwos%2Fwoscc%2Ffull-record%2FWOS:000171622800002","View Full Record in Web of Science")</f>
        <v>View Full Record in Web of Science</v>
      </c>
    </row>
    <row r="182" spans="1:72" x14ac:dyDescent="0.15">
      <c r="A182" t="s">
        <v>72</v>
      </c>
      <c r="B182" t="s">
        <v>2780</v>
      </c>
      <c r="C182" t="s">
        <v>74</v>
      </c>
      <c r="D182" t="s">
        <v>74</v>
      </c>
      <c r="E182" t="s">
        <v>74</v>
      </c>
      <c r="F182" t="s">
        <v>2780</v>
      </c>
      <c r="G182" t="s">
        <v>74</v>
      </c>
      <c r="H182" t="s">
        <v>74</v>
      </c>
      <c r="I182" t="s">
        <v>2781</v>
      </c>
      <c r="J182" t="s">
        <v>194</v>
      </c>
      <c r="K182" t="s">
        <v>74</v>
      </c>
      <c r="L182" t="s">
        <v>74</v>
      </c>
      <c r="M182" t="s">
        <v>77</v>
      </c>
      <c r="N182" t="s">
        <v>120</v>
      </c>
      <c r="O182" t="s">
        <v>74</v>
      </c>
      <c r="P182" t="s">
        <v>74</v>
      </c>
      <c r="Q182" t="s">
        <v>74</v>
      </c>
      <c r="R182" t="s">
        <v>74</v>
      </c>
      <c r="S182" t="s">
        <v>74</v>
      </c>
      <c r="T182" t="s">
        <v>74</v>
      </c>
      <c r="U182" t="s">
        <v>2782</v>
      </c>
      <c r="V182" t="s">
        <v>2783</v>
      </c>
      <c r="W182" t="s">
        <v>2784</v>
      </c>
      <c r="X182" t="s">
        <v>2785</v>
      </c>
      <c r="Y182" t="s">
        <v>2786</v>
      </c>
      <c r="Z182" t="s">
        <v>2787</v>
      </c>
      <c r="AA182" t="s">
        <v>2788</v>
      </c>
      <c r="AB182" t="s">
        <v>2789</v>
      </c>
      <c r="AC182" t="s">
        <v>74</v>
      </c>
      <c r="AD182" t="s">
        <v>74</v>
      </c>
      <c r="AE182" t="s">
        <v>74</v>
      </c>
      <c r="AF182" t="s">
        <v>74</v>
      </c>
      <c r="AG182">
        <v>31</v>
      </c>
      <c r="AH182">
        <v>34</v>
      </c>
      <c r="AI182">
        <v>36</v>
      </c>
      <c r="AJ182">
        <v>0</v>
      </c>
      <c r="AK182">
        <v>21</v>
      </c>
      <c r="AL182" t="s">
        <v>248</v>
      </c>
      <c r="AM182" t="s">
        <v>204</v>
      </c>
      <c r="AN182" t="s">
        <v>249</v>
      </c>
      <c r="AO182" t="s">
        <v>206</v>
      </c>
      <c r="AP182" t="s">
        <v>250</v>
      </c>
      <c r="AQ182" t="s">
        <v>74</v>
      </c>
      <c r="AR182" t="s">
        <v>207</v>
      </c>
      <c r="AS182" t="s">
        <v>208</v>
      </c>
      <c r="AT182" t="s">
        <v>2079</v>
      </c>
      <c r="AU182">
        <v>2001</v>
      </c>
      <c r="AV182">
        <v>24</v>
      </c>
      <c r="AW182">
        <v>10</v>
      </c>
      <c r="AX182" t="s">
        <v>74</v>
      </c>
      <c r="AY182" t="s">
        <v>74</v>
      </c>
      <c r="AZ182" t="s">
        <v>74</v>
      </c>
      <c r="BA182" t="s">
        <v>74</v>
      </c>
      <c r="BB182">
        <v>724</v>
      </c>
      <c r="BC182">
        <v>728</v>
      </c>
      <c r="BD182" t="s">
        <v>74</v>
      </c>
      <c r="BE182" t="s">
        <v>2790</v>
      </c>
      <c r="BF182" t="str">
        <f>HYPERLINK("http://dx.doi.org/10.1007/s003000100273","http://dx.doi.org/10.1007/s003000100273")</f>
        <v>http://dx.doi.org/10.1007/s003000100273</v>
      </c>
      <c r="BG182" t="s">
        <v>74</v>
      </c>
      <c r="BH182" t="s">
        <v>74</v>
      </c>
      <c r="BI182">
        <v>5</v>
      </c>
      <c r="BJ182" t="s">
        <v>209</v>
      </c>
      <c r="BK182" t="s">
        <v>88</v>
      </c>
      <c r="BL182" t="s">
        <v>210</v>
      </c>
      <c r="BM182" t="s">
        <v>2778</v>
      </c>
      <c r="BN182" t="s">
        <v>74</v>
      </c>
      <c r="BO182" t="s">
        <v>74</v>
      </c>
      <c r="BP182" t="s">
        <v>74</v>
      </c>
      <c r="BQ182" t="s">
        <v>74</v>
      </c>
      <c r="BR182" t="s">
        <v>91</v>
      </c>
      <c r="BS182" t="s">
        <v>2791</v>
      </c>
      <c r="BT182" t="str">
        <f>HYPERLINK("https%3A%2F%2Fwww.webofscience.com%2Fwos%2Fwoscc%2Ffull-record%2FWOS:000171622800003","View Full Record in Web of Science")</f>
        <v>View Full Record in Web of Science</v>
      </c>
    </row>
    <row r="183" spans="1:72" x14ac:dyDescent="0.15">
      <c r="A183" t="s">
        <v>72</v>
      </c>
      <c r="B183" t="s">
        <v>2792</v>
      </c>
      <c r="C183" t="s">
        <v>74</v>
      </c>
      <c r="D183" t="s">
        <v>74</v>
      </c>
      <c r="E183" t="s">
        <v>74</v>
      </c>
      <c r="F183" t="s">
        <v>2792</v>
      </c>
      <c r="G183" t="s">
        <v>74</v>
      </c>
      <c r="H183" t="s">
        <v>74</v>
      </c>
      <c r="I183" t="s">
        <v>2793</v>
      </c>
      <c r="J183" t="s">
        <v>194</v>
      </c>
      <c r="K183" t="s">
        <v>74</v>
      </c>
      <c r="L183" t="s">
        <v>74</v>
      </c>
      <c r="M183" t="s">
        <v>77</v>
      </c>
      <c r="N183" t="s">
        <v>120</v>
      </c>
      <c r="O183" t="s">
        <v>74</v>
      </c>
      <c r="P183" t="s">
        <v>74</v>
      </c>
      <c r="Q183" t="s">
        <v>74</v>
      </c>
      <c r="R183" t="s">
        <v>74</v>
      </c>
      <c r="S183" t="s">
        <v>74</v>
      </c>
      <c r="T183" t="s">
        <v>74</v>
      </c>
      <c r="U183" t="s">
        <v>2794</v>
      </c>
      <c r="V183" t="s">
        <v>2795</v>
      </c>
      <c r="W183" t="s">
        <v>2796</v>
      </c>
      <c r="X183" t="s">
        <v>2797</v>
      </c>
      <c r="Y183" t="s">
        <v>2528</v>
      </c>
      <c r="Z183" t="s">
        <v>74</v>
      </c>
      <c r="AA183" t="s">
        <v>2798</v>
      </c>
      <c r="AB183" t="s">
        <v>2530</v>
      </c>
      <c r="AC183" t="s">
        <v>74</v>
      </c>
      <c r="AD183" t="s">
        <v>74</v>
      </c>
      <c r="AE183" t="s">
        <v>74</v>
      </c>
      <c r="AF183" t="s">
        <v>74</v>
      </c>
      <c r="AG183">
        <v>19</v>
      </c>
      <c r="AH183">
        <v>14</v>
      </c>
      <c r="AI183">
        <v>16</v>
      </c>
      <c r="AJ183">
        <v>0</v>
      </c>
      <c r="AK183">
        <v>2</v>
      </c>
      <c r="AL183" t="s">
        <v>203</v>
      </c>
      <c r="AM183" t="s">
        <v>204</v>
      </c>
      <c r="AN183" t="s">
        <v>205</v>
      </c>
      <c r="AO183" t="s">
        <v>206</v>
      </c>
      <c r="AP183" t="s">
        <v>74</v>
      </c>
      <c r="AQ183" t="s">
        <v>74</v>
      </c>
      <c r="AR183" t="s">
        <v>207</v>
      </c>
      <c r="AS183" t="s">
        <v>208</v>
      </c>
      <c r="AT183" t="s">
        <v>2079</v>
      </c>
      <c r="AU183">
        <v>2001</v>
      </c>
      <c r="AV183">
        <v>24</v>
      </c>
      <c r="AW183">
        <v>10</v>
      </c>
      <c r="AX183" t="s">
        <v>74</v>
      </c>
      <c r="AY183" t="s">
        <v>74</v>
      </c>
      <c r="AZ183" t="s">
        <v>74</v>
      </c>
      <c r="BA183" t="s">
        <v>74</v>
      </c>
      <c r="BB183">
        <v>729</v>
      </c>
      <c r="BC183">
        <v>734</v>
      </c>
      <c r="BD183" t="s">
        <v>74</v>
      </c>
      <c r="BE183" t="s">
        <v>2799</v>
      </c>
      <c r="BF183" t="str">
        <f>HYPERLINK("http://dx.doi.org/10.1007/s003000100274","http://dx.doi.org/10.1007/s003000100274")</f>
        <v>http://dx.doi.org/10.1007/s003000100274</v>
      </c>
      <c r="BG183" t="s">
        <v>74</v>
      </c>
      <c r="BH183" t="s">
        <v>74</v>
      </c>
      <c r="BI183">
        <v>6</v>
      </c>
      <c r="BJ183" t="s">
        <v>209</v>
      </c>
      <c r="BK183" t="s">
        <v>88</v>
      </c>
      <c r="BL183" t="s">
        <v>210</v>
      </c>
      <c r="BM183" t="s">
        <v>2778</v>
      </c>
      <c r="BN183" t="s">
        <v>74</v>
      </c>
      <c r="BO183" t="s">
        <v>74</v>
      </c>
      <c r="BP183" t="s">
        <v>74</v>
      </c>
      <c r="BQ183" t="s">
        <v>74</v>
      </c>
      <c r="BR183" t="s">
        <v>91</v>
      </c>
      <c r="BS183" t="s">
        <v>2800</v>
      </c>
      <c r="BT183" t="str">
        <f>HYPERLINK("https%3A%2F%2Fwww.webofscience.com%2Fwos%2Fwoscc%2Ffull-record%2FWOS:000171622800004","View Full Record in Web of Science")</f>
        <v>View Full Record in Web of Science</v>
      </c>
    </row>
    <row r="184" spans="1:72" x14ac:dyDescent="0.15">
      <c r="A184" t="s">
        <v>72</v>
      </c>
      <c r="B184" t="s">
        <v>2801</v>
      </c>
      <c r="C184" t="s">
        <v>74</v>
      </c>
      <c r="D184" t="s">
        <v>74</v>
      </c>
      <c r="E184" t="s">
        <v>74</v>
      </c>
      <c r="F184" t="s">
        <v>2801</v>
      </c>
      <c r="G184" t="s">
        <v>74</v>
      </c>
      <c r="H184" t="s">
        <v>74</v>
      </c>
      <c r="I184" t="s">
        <v>2802</v>
      </c>
      <c r="J184" t="s">
        <v>194</v>
      </c>
      <c r="K184" t="s">
        <v>74</v>
      </c>
      <c r="L184" t="s">
        <v>74</v>
      </c>
      <c r="M184" t="s">
        <v>77</v>
      </c>
      <c r="N184" t="s">
        <v>120</v>
      </c>
      <c r="O184" t="s">
        <v>74</v>
      </c>
      <c r="P184" t="s">
        <v>74</v>
      </c>
      <c r="Q184" t="s">
        <v>74</v>
      </c>
      <c r="R184" t="s">
        <v>74</v>
      </c>
      <c r="S184" t="s">
        <v>74</v>
      </c>
      <c r="T184" t="s">
        <v>74</v>
      </c>
      <c r="U184" t="s">
        <v>2803</v>
      </c>
      <c r="V184" t="s">
        <v>2804</v>
      </c>
      <c r="W184" t="s">
        <v>2805</v>
      </c>
      <c r="X184" t="s">
        <v>2806</v>
      </c>
      <c r="Y184" t="s">
        <v>2807</v>
      </c>
      <c r="Z184" t="s">
        <v>2808</v>
      </c>
      <c r="AA184" t="s">
        <v>74</v>
      </c>
      <c r="AB184" t="s">
        <v>74</v>
      </c>
      <c r="AC184" t="s">
        <v>74</v>
      </c>
      <c r="AD184" t="s">
        <v>74</v>
      </c>
      <c r="AE184" t="s">
        <v>74</v>
      </c>
      <c r="AF184" t="s">
        <v>74</v>
      </c>
      <c r="AG184">
        <v>47</v>
      </c>
      <c r="AH184">
        <v>35</v>
      </c>
      <c r="AI184">
        <v>40</v>
      </c>
      <c r="AJ184">
        <v>1</v>
      </c>
      <c r="AK184">
        <v>8</v>
      </c>
      <c r="AL184" t="s">
        <v>248</v>
      </c>
      <c r="AM184" t="s">
        <v>204</v>
      </c>
      <c r="AN184" t="s">
        <v>249</v>
      </c>
      <c r="AO184" t="s">
        <v>206</v>
      </c>
      <c r="AP184" t="s">
        <v>250</v>
      </c>
      <c r="AQ184" t="s">
        <v>74</v>
      </c>
      <c r="AR184" t="s">
        <v>207</v>
      </c>
      <c r="AS184" t="s">
        <v>208</v>
      </c>
      <c r="AT184" t="s">
        <v>2079</v>
      </c>
      <c r="AU184">
        <v>2001</v>
      </c>
      <c r="AV184">
        <v>24</v>
      </c>
      <c r="AW184">
        <v>10</v>
      </c>
      <c r="AX184" t="s">
        <v>74</v>
      </c>
      <c r="AY184" t="s">
        <v>74</v>
      </c>
      <c r="AZ184" t="s">
        <v>74</v>
      </c>
      <c r="BA184" t="s">
        <v>74</v>
      </c>
      <c r="BB184">
        <v>735</v>
      </c>
      <c r="BC184">
        <v>743</v>
      </c>
      <c r="BD184" t="s">
        <v>74</v>
      </c>
      <c r="BE184" t="s">
        <v>74</v>
      </c>
      <c r="BF184" t="s">
        <v>74</v>
      </c>
      <c r="BG184" t="s">
        <v>74</v>
      </c>
      <c r="BH184" t="s">
        <v>74</v>
      </c>
      <c r="BI184">
        <v>9</v>
      </c>
      <c r="BJ184" t="s">
        <v>209</v>
      </c>
      <c r="BK184" t="s">
        <v>88</v>
      </c>
      <c r="BL184" t="s">
        <v>210</v>
      </c>
      <c r="BM184" t="s">
        <v>2778</v>
      </c>
      <c r="BN184" t="s">
        <v>74</v>
      </c>
      <c r="BO184" t="s">
        <v>74</v>
      </c>
      <c r="BP184" t="s">
        <v>74</v>
      </c>
      <c r="BQ184" t="s">
        <v>74</v>
      </c>
      <c r="BR184" t="s">
        <v>91</v>
      </c>
      <c r="BS184" t="s">
        <v>2809</v>
      </c>
      <c r="BT184" t="str">
        <f>HYPERLINK("https%3A%2F%2Fwww.webofscience.com%2Fwos%2Fwoscc%2Ffull-record%2FWOS:000171622800005","View Full Record in Web of Science")</f>
        <v>View Full Record in Web of Science</v>
      </c>
    </row>
    <row r="185" spans="1:72" x14ac:dyDescent="0.15">
      <c r="A185" t="s">
        <v>72</v>
      </c>
      <c r="B185" t="s">
        <v>2810</v>
      </c>
      <c r="C185" t="s">
        <v>74</v>
      </c>
      <c r="D185" t="s">
        <v>74</v>
      </c>
      <c r="E185" t="s">
        <v>74</v>
      </c>
      <c r="F185" t="s">
        <v>2810</v>
      </c>
      <c r="G185" t="s">
        <v>74</v>
      </c>
      <c r="H185" t="s">
        <v>74</v>
      </c>
      <c r="I185" t="s">
        <v>2811</v>
      </c>
      <c r="J185" t="s">
        <v>194</v>
      </c>
      <c r="K185" t="s">
        <v>74</v>
      </c>
      <c r="L185" t="s">
        <v>74</v>
      </c>
      <c r="M185" t="s">
        <v>77</v>
      </c>
      <c r="N185" t="s">
        <v>120</v>
      </c>
      <c r="O185" t="s">
        <v>74</v>
      </c>
      <c r="P185" t="s">
        <v>74</v>
      </c>
      <c r="Q185" t="s">
        <v>74</v>
      </c>
      <c r="R185" t="s">
        <v>74</v>
      </c>
      <c r="S185" t="s">
        <v>74</v>
      </c>
      <c r="T185" t="s">
        <v>74</v>
      </c>
      <c r="U185" t="s">
        <v>2812</v>
      </c>
      <c r="V185" t="s">
        <v>2813</v>
      </c>
      <c r="W185" t="s">
        <v>461</v>
      </c>
      <c r="X185" t="s">
        <v>462</v>
      </c>
      <c r="Y185" t="s">
        <v>2814</v>
      </c>
      <c r="Z185" t="s">
        <v>74</v>
      </c>
      <c r="AA185" t="s">
        <v>2815</v>
      </c>
      <c r="AB185" t="s">
        <v>2816</v>
      </c>
      <c r="AC185" t="s">
        <v>74</v>
      </c>
      <c r="AD185" t="s">
        <v>74</v>
      </c>
      <c r="AE185" t="s">
        <v>74</v>
      </c>
      <c r="AF185" t="s">
        <v>74</v>
      </c>
      <c r="AG185">
        <v>28</v>
      </c>
      <c r="AH185">
        <v>27</v>
      </c>
      <c r="AI185">
        <v>28</v>
      </c>
      <c r="AJ185">
        <v>0</v>
      </c>
      <c r="AK185">
        <v>11</v>
      </c>
      <c r="AL185" t="s">
        <v>203</v>
      </c>
      <c r="AM185" t="s">
        <v>204</v>
      </c>
      <c r="AN185" t="s">
        <v>205</v>
      </c>
      <c r="AO185" t="s">
        <v>206</v>
      </c>
      <c r="AP185" t="s">
        <v>74</v>
      </c>
      <c r="AQ185" t="s">
        <v>74</v>
      </c>
      <c r="AR185" t="s">
        <v>207</v>
      </c>
      <c r="AS185" t="s">
        <v>208</v>
      </c>
      <c r="AT185" t="s">
        <v>2079</v>
      </c>
      <c r="AU185">
        <v>2001</v>
      </c>
      <c r="AV185">
        <v>24</v>
      </c>
      <c r="AW185">
        <v>10</v>
      </c>
      <c r="AX185" t="s">
        <v>74</v>
      </c>
      <c r="AY185" t="s">
        <v>74</v>
      </c>
      <c r="AZ185" t="s">
        <v>74</v>
      </c>
      <c r="BA185" t="s">
        <v>74</v>
      </c>
      <c r="BB185">
        <v>764</v>
      </c>
      <c r="BC185">
        <v>770</v>
      </c>
      <c r="BD185" t="s">
        <v>74</v>
      </c>
      <c r="BE185" t="s">
        <v>74</v>
      </c>
      <c r="BF185" t="s">
        <v>74</v>
      </c>
      <c r="BG185" t="s">
        <v>74</v>
      </c>
      <c r="BH185" t="s">
        <v>74</v>
      </c>
      <c r="BI185">
        <v>7</v>
      </c>
      <c r="BJ185" t="s">
        <v>209</v>
      </c>
      <c r="BK185" t="s">
        <v>88</v>
      </c>
      <c r="BL185" t="s">
        <v>210</v>
      </c>
      <c r="BM185" t="s">
        <v>2778</v>
      </c>
      <c r="BN185" t="s">
        <v>74</v>
      </c>
      <c r="BO185" t="s">
        <v>74</v>
      </c>
      <c r="BP185" t="s">
        <v>74</v>
      </c>
      <c r="BQ185" t="s">
        <v>74</v>
      </c>
      <c r="BR185" t="s">
        <v>91</v>
      </c>
      <c r="BS185" t="s">
        <v>2817</v>
      </c>
      <c r="BT185" t="str">
        <f>HYPERLINK("https%3A%2F%2Fwww.webofscience.com%2Fwos%2Fwoscc%2Ffull-record%2FWOS:000171622800008","View Full Record in Web of Science")</f>
        <v>View Full Record in Web of Science</v>
      </c>
    </row>
    <row r="186" spans="1:72" x14ac:dyDescent="0.15">
      <c r="A186" t="s">
        <v>72</v>
      </c>
      <c r="B186" t="s">
        <v>2818</v>
      </c>
      <c r="C186" t="s">
        <v>74</v>
      </c>
      <c r="D186" t="s">
        <v>74</v>
      </c>
      <c r="E186" t="s">
        <v>74</v>
      </c>
      <c r="F186" t="s">
        <v>2818</v>
      </c>
      <c r="G186" t="s">
        <v>74</v>
      </c>
      <c r="H186" t="s">
        <v>74</v>
      </c>
      <c r="I186" t="s">
        <v>2819</v>
      </c>
      <c r="J186" t="s">
        <v>194</v>
      </c>
      <c r="K186" t="s">
        <v>74</v>
      </c>
      <c r="L186" t="s">
        <v>74</v>
      </c>
      <c r="M186" t="s">
        <v>77</v>
      </c>
      <c r="N186" t="s">
        <v>120</v>
      </c>
      <c r="O186" t="s">
        <v>74</v>
      </c>
      <c r="P186" t="s">
        <v>74</v>
      </c>
      <c r="Q186" t="s">
        <v>74</v>
      </c>
      <c r="R186" t="s">
        <v>74</v>
      </c>
      <c r="S186" t="s">
        <v>74</v>
      </c>
      <c r="T186" t="s">
        <v>74</v>
      </c>
      <c r="U186" t="s">
        <v>2820</v>
      </c>
      <c r="V186" t="s">
        <v>2821</v>
      </c>
      <c r="W186" t="s">
        <v>2822</v>
      </c>
      <c r="X186" t="s">
        <v>2823</v>
      </c>
      <c r="Y186" t="s">
        <v>2824</v>
      </c>
      <c r="Z186" t="s">
        <v>74</v>
      </c>
      <c r="AA186" t="s">
        <v>2825</v>
      </c>
      <c r="AB186" t="s">
        <v>2826</v>
      </c>
      <c r="AC186" t="s">
        <v>74</v>
      </c>
      <c r="AD186" t="s">
        <v>74</v>
      </c>
      <c r="AE186" t="s">
        <v>74</v>
      </c>
      <c r="AF186" t="s">
        <v>74</v>
      </c>
      <c r="AG186">
        <v>55</v>
      </c>
      <c r="AH186">
        <v>32</v>
      </c>
      <c r="AI186">
        <v>36</v>
      </c>
      <c r="AJ186">
        <v>1</v>
      </c>
      <c r="AK186">
        <v>12</v>
      </c>
      <c r="AL186" t="s">
        <v>203</v>
      </c>
      <c r="AM186" t="s">
        <v>204</v>
      </c>
      <c r="AN186" t="s">
        <v>205</v>
      </c>
      <c r="AO186" t="s">
        <v>206</v>
      </c>
      <c r="AP186" t="s">
        <v>74</v>
      </c>
      <c r="AQ186" t="s">
        <v>74</v>
      </c>
      <c r="AR186" t="s">
        <v>207</v>
      </c>
      <c r="AS186" t="s">
        <v>208</v>
      </c>
      <c r="AT186" t="s">
        <v>2079</v>
      </c>
      <c r="AU186">
        <v>2001</v>
      </c>
      <c r="AV186">
        <v>24</v>
      </c>
      <c r="AW186">
        <v>10</v>
      </c>
      <c r="AX186" t="s">
        <v>74</v>
      </c>
      <c r="AY186" t="s">
        <v>74</v>
      </c>
      <c r="AZ186" t="s">
        <v>74</v>
      </c>
      <c r="BA186" t="s">
        <v>74</v>
      </c>
      <c r="BB186">
        <v>771</v>
      </c>
      <c r="BC186">
        <v>784</v>
      </c>
      <c r="BD186" t="s">
        <v>74</v>
      </c>
      <c r="BE186" t="s">
        <v>2827</v>
      </c>
      <c r="BF186" t="str">
        <f>HYPERLINK("http://dx.doi.org/10.1007/s003000100283","http://dx.doi.org/10.1007/s003000100283")</f>
        <v>http://dx.doi.org/10.1007/s003000100283</v>
      </c>
      <c r="BG186" t="s">
        <v>74</v>
      </c>
      <c r="BH186" t="s">
        <v>74</v>
      </c>
      <c r="BI186">
        <v>14</v>
      </c>
      <c r="BJ186" t="s">
        <v>209</v>
      </c>
      <c r="BK186" t="s">
        <v>88</v>
      </c>
      <c r="BL186" t="s">
        <v>210</v>
      </c>
      <c r="BM186" t="s">
        <v>2778</v>
      </c>
      <c r="BN186" t="s">
        <v>74</v>
      </c>
      <c r="BO186" t="s">
        <v>74</v>
      </c>
      <c r="BP186" t="s">
        <v>74</v>
      </c>
      <c r="BQ186" t="s">
        <v>74</v>
      </c>
      <c r="BR186" t="s">
        <v>91</v>
      </c>
      <c r="BS186" t="s">
        <v>2828</v>
      </c>
      <c r="BT186" t="str">
        <f>HYPERLINK("https%3A%2F%2Fwww.webofscience.com%2Fwos%2Fwoscc%2Ffull-record%2FWOS:000171622800009","View Full Record in Web of Science")</f>
        <v>View Full Record in Web of Science</v>
      </c>
    </row>
    <row r="187" spans="1:72" x14ac:dyDescent="0.15">
      <c r="A187" t="s">
        <v>72</v>
      </c>
      <c r="B187" t="s">
        <v>2829</v>
      </c>
      <c r="C187" t="s">
        <v>74</v>
      </c>
      <c r="D187" t="s">
        <v>74</v>
      </c>
      <c r="E187" t="s">
        <v>74</v>
      </c>
      <c r="F187" t="s">
        <v>2829</v>
      </c>
      <c r="G187" t="s">
        <v>74</v>
      </c>
      <c r="H187" t="s">
        <v>74</v>
      </c>
      <c r="I187" t="s">
        <v>2830</v>
      </c>
      <c r="J187" t="s">
        <v>194</v>
      </c>
      <c r="K187" t="s">
        <v>74</v>
      </c>
      <c r="L187" t="s">
        <v>74</v>
      </c>
      <c r="M187" t="s">
        <v>77</v>
      </c>
      <c r="N187" t="s">
        <v>120</v>
      </c>
      <c r="O187" t="s">
        <v>74</v>
      </c>
      <c r="P187" t="s">
        <v>74</v>
      </c>
      <c r="Q187" t="s">
        <v>74</v>
      </c>
      <c r="R187" t="s">
        <v>74</v>
      </c>
      <c r="S187" t="s">
        <v>74</v>
      </c>
      <c r="T187" t="s">
        <v>74</v>
      </c>
      <c r="U187" t="s">
        <v>2831</v>
      </c>
      <c r="V187" t="s">
        <v>2832</v>
      </c>
      <c r="W187" t="s">
        <v>2833</v>
      </c>
      <c r="X187" t="s">
        <v>2143</v>
      </c>
      <c r="Y187" t="s">
        <v>2834</v>
      </c>
      <c r="Z187" t="s">
        <v>74</v>
      </c>
      <c r="AA187" t="s">
        <v>2835</v>
      </c>
      <c r="AB187" t="s">
        <v>74</v>
      </c>
      <c r="AC187" t="s">
        <v>74</v>
      </c>
      <c r="AD187" t="s">
        <v>74</v>
      </c>
      <c r="AE187" t="s">
        <v>74</v>
      </c>
      <c r="AF187" t="s">
        <v>74</v>
      </c>
      <c r="AG187">
        <v>30</v>
      </c>
      <c r="AH187">
        <v>16</v>
      </c>
      <c r="AI187">
        <v>17</v>
      </c>
      <c r="AJ187">
        <v>0</v>
      </c>
      <c r="AK187">
        <v>9</v>
      </c>
      <c r="AL187" t="s">
        <v>203</v>
      </c>
      <c r="AM187" t="s">
        <v>204</v>
      </c>
      <c r="AN187" t="s">
        <v>205</v>
      </c>
      <c r="AO187" t="s">
        <v>206</v>
      </c>
      <c r="AP187" t="s">
        <v>74</v>
      </c>
      <c r="AQ187" t="s">
        <v>74</v>
      </c>
      <c r="AR187" t="s">
        <v>207</v>
      </c>
      <c r="AS187" t="s">
        <v>208</v>
      </c>
      <c r="AT187" t="s">
        <v>2079</v>
      </c>
      <c r="AU187">
        <v>2001</v>
      </c>
      <c r="AV187">
        <v>24</v>
      </c>
      <c r="AW187">
        <v>10</v>
      </c>
      <c r="AX187" t="s">
        <v>74</v>
      </c>
      <c r="AY187" t="s">
        <v>74</v>
      </c>
      <c r="AZ187" t="s">
        <v>74</v>
      </c>
      <c r="BA187" t="s">
        <v>74</v>
      </c>
      <c r="BB187">
        <v>785</v>
      </c>
      <c r="BC187">
        <v>789</v>
      </c>
      <c r="BD187" t="s">
        <v>74</v>
      </c>
      <c r="BE187" t="s">
        <v>2836</v>
      </c>
      <c r="BF187" t="str">
        <f>HYPERLINK("http://dx.doi.org/10.1007/s003000100290","http://dx.doi.org/10.1007/s003000100290")</f>
        <v>http://dx.doi.org/10.1007/s003000100290</v>
      </c>
      <c r="BG187" t="s">
        <v>74</v>
      </c>
      <c r="BH187" t="s">
        <v>74</v>
      </c>
      <c r="BI187">
        <v>5</v>
      </c>
      <c r="BJ187" t="s">
        <v>209</v>
      </c>
      <c r="BK187" t="s">
        <v>88</v>
      </c>
      <c r="BL187" t="s">
        <v>210</v>
      </c>
      <c r="BM187" t="s">
        <v>2778</v>
      </c>
      <c r="BN187" t="s">
        <v>74</v>
      </c>
      <c r="BO187" t="s">
        <v>74</v>
      </c>
      <c r="BP187" t="s">
        <v>74</v>
      </c>
      <c r="BQ187" t="s">
        <v>74</v>
      </c>
      <c r="BR187" t="s">
        <v>91</v>
      </c>
      <c r="BS187" t="s">
        <v>2837</v>
      </c>
      <c r="BT187" t="str">
        <f>HYPERLINK("https%3A%2F%2Fwww.webofscience.com%2Fwos%2Fwoscc%2Ffull-record%2FWOS:000171622800010","View Full Record in Web of Science")</f>
        <v>View Full Record in Web of Science</v>
      </c>
    </row>
    <row r="188" spans="1:72" x14ac:dyDescent="0.15">
      <c r="A188" t="s">
        <v>72</v>
      </c>
      <c r="B188" t="s">
        <v>2838</v>
      </c>
      <c r="C188" t="s">
        <v>74</v>
      </c>
      <c r="D188" t="s">
        <v>74</v>
      </c>
      <c r="E188" t="s">
        <v>74</v>
      </c>
      <c r="F188" t="s">
        <v>2838</v>
      </c>
      <c r="G188" t="s">
        <v>74</v>
      </c>
      <c r="H188" t="s">
        <v>74</v>
      </c>
      <c r="I188" t="s">
        <v>2839</v>
      </c>
      <c r="J188" t="s">
        <v>194</v>
      </c>
      <c r="K188" t="s">
        <v>74</v>
      </c>
      <c r="L188" t="s">
        <v>74</v>
      </c>
      <c r="M188" t="s">
        <v>77</v>
      </c>
      <c r="N188" t="s">
        <v>120</v>
      </c>
      <c r="O188" t="s">
        <v>74</v>
      </c>
      <c r="P188" t="s">
        <v>74</v>
      </c>
      <c r="Q188" t="s">
        <v>74</v>
      </c>
      <c r="R188" t="s">
        <v>74</v>
      </c>
      <c r="S188" t="s">
        <v>74</v>
      </c>
      <c r="T188" t="s">
        <v>74</v>
      </c>
      <c r="U188" t="s">
        <v>2840</v>
      </c>
      <c r="V188" t="s">
        <v>2841</v>
      </c>
      <c r="W188" t="s">
        <v>2842</v>
      </c>
      <c r="X188" t="s">
        <v>2843</v>
      </c>
      <c r="Y188" t="s">
        <v>2844</v>
      </c>
      <c r="Z188" t="s">
        <v>2845</v>
      </c>
      <c r="AA188" t="s">
        <v>2846</v>
      </c>
      <c r="AB188" t="s">
        <v>2847</v>
      </c>
      <c r="AC188" t="s">
        <v>74</v>
      </c>
      <c r="AD188" t="s">
        <v>74</v>
      </c>
      <c r="AE188" t="s">
        <v>74</v>
      </c>
      <c r="AF188" t="s">
        <v>74</v>
      </c>
      <c r="AG188">
        <v>11</v>
      </c>
      <c r="AH188">
        <v>16</v>
      </c>
      <c r="AI188">
        <v>17</v>
      </c>
      <c r="AJ188">
        <v>0</v>
      </c>
      <c r="AK188">
        <v>6</v>
      </c>
      <c r="AL188" t="s">
        <v>248</v>
      </c>
      <c r="AM188" t="s">
        <v>204</v>
      </c>
      <c r="AN188" t="s">
        <v>249</v>
      </c>
      <c r="AO188" t="s">
        <v>206</v>
      </c>
      <c r="AP188" t="s">
        <v>250</v>
      </c>
      <c r="AQ188" t="s">
        <v>74</v>
      </c>
      <c r="AR188" t="s">
        <v>207</v>
      </c>
      <c r="AS188" t="s">
        <v>208</v>
      </c>
      <c r="AT188" t="s">
        <v>2079</v>
      </c>
      <c r="AU188">
        <v>2001</v>
      </c>
      <c r="AV188">
        <v>24</v>
      </c>
      <c r="AW188">
        <v>10</v>
      </c>
      <c r="AX188" t="s">
        <v>74</v>
      </c>
      <c r="AY188" t="s">
        <v>74</v>
      </c>
      <c r="AZ188" t="s">
        <v>74</v>
      </c>
      <c r="BA188" t="s">
        <v>74</v>
      </c>
      <c r="BB188">
        <v>790</v>
      </c>
      <c r="BC188">
        <v>792</v>
      </c>
      <c r="BD188" t="s">
        <v>74</v>
      </c>
      <c r="BE188" t="s">
        <v>2848</v>
      </c>
      <c r="BF188" t="str">
        <f>HYPERLINK("http://dx.doi.org/10.1007/s003000100294","http://dx.doi.org/10.1007/s003000100294")</f>
        <v>http://dx.doi.org/10.1007/s003000100294</v>
      </c>
      <c r="BG188" t="s">
        <v>74</v>
      </c>
      <c r="BH188" t="s">
        <v>74</v>
      </c>
      <c r="BI188">
        <v>3</v>
      </c>
      <c r="BJ188" t="s">
        <v>209</v>
      </c>
      <c r="BK188" t="s">
        <v>88</v>
      </c>
      <c r="BL188" t="s">
        <v>210</v>
      </c>
      <c r="BM188" t="s">
        <v>2778</v>
      </c>
      <c r="BN188" t="s">
        <v>74</v>
      </c>
      <c r="BO188" t="s">
        <v>74</v>
      </c>
      <c r="BP188" t="s">
        <v>74</v>
      </c>
      <c r="BQ188" t="s">
        <v>74</v>
      </c>
      <c r="BR188" t="s">
        <v>91</v>
      </c>
      <c r="BS188" t="s">
        <v>2849</v>
      </c>
      <c r="BT188" t="str">
        <f>HYPERLINK("https%3A%2F%2Fwww.webofscience.com%2Fwos%2Fwoscc%2Ffull-record%2FWOS:000171622800011","View Full Record in Web of Science")</f>
        <v>View Full Record in Web of Science</v>
      </c>
    </row>
    <row r="189" spans="1:72" x14ac:dyDescent="0.15">
      <c r="A189" t="s">
        <v>72</v>
      </c>
      <c r="B189" t="s">
        <v>2850</v>
      </c>
      <c r="C189" t="s">
        <v>74</v>
      </c>
      <c r="D189" t="s">
        <v>74</v>
      </c>
      <c r="E189" t="s">
        <v>74</v>
      </c>
      <c r="F189" t="s">
        <v>2850</v>
      </c>
      <c r="G189" t="s">
        <v>74</v>
      </c>
      <c r="H189" t="s">
        <v>74</v>
      </c>
      <c r="I189" t="s">
        <v>2851</v>
      </c>
      <c r="J189" t="s">
        <v>2852</v>
      </c>
      <c r="K189" t="s">
        <v>74</v>
      </c>
      <c r="L189" t="s">
        <v>74</v>
      </c>
      <c r="M189" t="s">
        <v>77</v>
      </c>
      <c r="N189" t="s">
        <v>120</v>
      </c>
      <c r="O189" t="s">
        <v>74</v>
      </c>
      <c r="P189" t="s">
        <v>74</v>
      </c>
      <c r="Q189" t="s">
        <v>74</v>
      </c>
      <c r="R189" t="s">
        <v>74</v>
      </c>
      <c r="S189" t="s">
        <v>74</v>
      </c>
      <c r="T189" t="s">
        <v>2853</v>
      </c>
      <c r="U189" t="s">
        <v>2854</v>
      </c>
      <c r="V189" t="s">
        <v>2855</v>
      </c>
      <c r="W189" t="s">
        <v>2856</v>
      </c>
      <c r="X189" t="s">
        <v>2857</v>
      </c>
      <c r="Y189" t="s">
        <v>2858</v>
      </c>
      <c r="Z189" t="s">
        <v>74</v>
      </c>
      <c r="AA189" t="s">
        <v>74</v>
      </c>
      <c r="AB189" t="s">
        <v>2859</v>
      </c>
      <c r="AC189" t="s">
        <v>74</v>
      </c>
      <c r="AD189" t="s">
        <v>74</v>
      </c>
      <c r="AE189" t="s">
        <v>74</v>
      </c>
      <c r="AF189" t="s">
        <v>74</v>
      </c>
      <c r="AG189">
        <v>35</v>
      </c>
      <c r="AH189">
        <v>17</v>
      </c>
      <c r="AI189">
        <v>19</v>
      </c>
      <c r="AJ189">
        <v>0</v>
      </c>
      <c r="AK189">
        <v>8</v>
      </c>
      <c r="AL189" t="s">
        <v>2860</v>
      </c>
      <c r="AM189" t="s">
        <v>1190</v>
      </c>
      <c r="AN189" t="s">
        <v>2861</v>
      </c>
      <c r="AO189" t="s">
        <v>2862</v>
      </c>
      <c r="AP189" t="s">
        <v>74</v>
      </c>
      <c r="AQ189" t="s">
        <v>74</v>
      </c>
      <c r="AR189" t="s">
        <v>2863</v>
      </c>
      <c r="AS189" t="s">
        <v>2864</v>
      </c>
      <c r="AT189" t="s">
        <v>2079</v>
      </c>
      <c r="AU189">
        <v>2001</v>
      </c>
      <c r="AV189">
        <v>127</v>
      </c>
      <c r="AW189">
        <v>577</v>
      </c>
      <c r="AX189" t="s">
        <v>2865</v>
      </c>
      <c r="AY189" t="s">
        <v>74</v>
      </c>
      <c r="AZ189" t="s">
        <v>74</v>
      </c>
      <c r="BA189" t="s">
        <v>74</v>
      </c>
      <c r="BB189">
        <v>2417</v>
      </c>
      <c r="BC189">
        <v>2434</v>
      </c>
      <c r="BD189" t="s">
        <v>74</v>
      </c>
      <c r="BE189" t="s">
        <v>2866</v>
      </c>
      <c r="BF189" t="str">
        <f>HYPERLINK("http://dx.doi.org/10.1002/qj.49712757712","http://dx.doi.org/10.1002/qj.49712757712")</f>
        <v>http://dx.doi.org/10.1002/qj.49712757712</v>
      </c>
      <c r="BG189" t="s">
        <v>74</v>
      </c>
      <c r="BH189" t="s">
        <v>74</v>
      </c>
      <c r="BI189">
        <v>18</v>
      </c>
      <c r="BJ189" t="s">
        <v>538</v>
      </c>
      <c r="BK189" t="s">
        <v>88</v>
      </c>
      <c r="BL189" t="s">
        <v>538</v>
      </c>
      <c r="BM189" t="s">
        <v>2867</v>
      </c>
      <c r="BN189" t="s">
        <v>74</v>
      </c>
      <c r="BO189" t="s">
        <v>74</v>
      </c>
      <c r="BP189" t="s">
        <v>74</v>
      </c>
      <c r="BQ189" t="s">
        <v>74</v>
      </c>
      <c r="BR189" t="s">
        <v>91</v>
      </c>
      <c r="BS189" t="s">
        <v>2868</v>
      </c>
      <c r="BT189" t="str">
        <f>HYPERLINK("https%3A%2F%2Fwww.webofscience.com%2Fwos%2Fwoscc%2Ffull-record%2FWOS:000171890500011","View Full Record in Web of Science")</f>
        <v>View Full Record in Web of Science</v>
      </c>
    </row>
    <row r="190" spans="1:72" x14ac:dyDescent="0.15">
      <c r="A190" t="s">
        <v>72</v>
      </c>
      <c r="B190" t="s">
        <v>2869</v>
      </c>
      <c r="C190" t="s">
        <v>74</v>
      </c>
      <c r="D190" t="s">
        <v>74</v>
      </c>
      <c r="E190" t="s">
        <v>74</v>
      </c>
      <c r="F190" t="s">
        <v>2869</v>
      </c>
      <c r="G190" t="s">
        <v>74</v>
      </c>
      <c r="H190" t="s">
        <v>74</v>
      </c>
      <c r="I190" t="s">
        <v>2870</v>
      </c>
      <c r="J190" t="s">
        <v>284</v>
      </c>
      <c r="K190" t="s">
        <v>74</v>
      </c>
      <c r="L190" t="s">
        <v>74</v>
      </c>
      <c r="M190" t="s">
        <v>77</v>
      </c>
      <c r="N190" t="s">
        <v>120</v>
      </c>
      <c r="O190" t="s">
        <v>74</v>
      </c>
      <c r="P190" t="s">
        <v>74</v>
      </c>
      <c r="Q190" t="s">
        <v>74</v>
      </c>
      <c r="R190" t="s">
        <v>74</v>
      </c>
      <c r="S190" t="s">
        <v>74</v>
      </c>
      <c r="T190" t="s">
        <v>2871</v>
      </c>
      <c r="U190" t="s">
        <v>2872</v>
      </c>
      <c r="V190" t="s">
        <v>2873</v>
      </c>
      <c r="W190" t="s">
        <v>2874</v>
      </c>
      <c r="X190" t="s">
        <v>2875</v>
      </c>
      <c r="Y190" t="s">
        <v>2876</v>
      </c>
      <c r="Z190" t="s">
        <v>74</v>
      </c>
      <c r="AA190" t="s">
        <v>2877</v>
      </c>
      <c r="AB190" t="s">
        <v>74</v>
      </c>
      <c r="AC190" t="s">
        <v>74</v>
      </c>
      <c r="AD190" t="s">
        <v>74</v>
      </c>
      <c r="AE190" t="s">
        <v>74</v>
      </c>
      <c r="AF190" t="s">
        <v>74</v>
      </c>
      <c r="AG190">
        <v>23</v>
      </c>
      <c r="AH190">
        <v>12</v>
      </c>
      <c r="AI190">
        <v>24</v>
      </c>
      <c r="AJ190">
        <v>2</v>
      </c>
      <c r="AK190">
        <v>22</v>
      </c>
      <c r="AL190" t="s">
        <v>292</v>
      </c>
      <c r="AM190" t="s">
        <v>293</v>
      </c>
      <c r="AN190" t="s">
        <v>294</v>
      </c>
      <c r="AO190" t="s">
        <v>295</v>
      </c>
      <c r="AP190" t="s">
        <v>74</v>
      </c>
      <c r="AQ190" t="s">
        <v>74</v>
      </c>
      <c r="AR190" t="s">
        <v>296</v>
      </c>
      <c r="AS190" t="s">
        <v>297</v>
      </c>
      <c r="AT190" t="s">
        <v>2079</v>
      </c>
      <c r="AU190">
        <v>2001</v>
      </c>
      <c r="AV190">
        <v>44</v>
      </c>
      <c r="AW190">
        <v>10</v>
      </c>
      <c r="AX190" t="s">
        <v>74</v>
      </c>
      <c r="AY190" t="s">
        <v>74</v>
      </c>
      <c r="AZ190" t="s">
        <v>74</v>
      </c>
      <c r="BA190" t="s">
        <v>74</v>
      </c>
      <c r="BB190">
        <v>952</v>
      </c>
      <c r="BC190">
        <v>960</v>
      </c>
      <c r="BD190" t="s">
        <v>74</v>
      </c>
      <c r="BE190" t="s">
        <v>2878</v>
      </c>
      <c r="BF190" t="str">
        <f>HYPERLINK("http://dx.doi.org/10.1007/BF02907088","http://dx.doi.org/10.1007/BF02907088")</f>
        <v>http://dx.doi.org/10.1007/BF02907088</v>
      </c>
      <c r="BG190" t="s">
        <v>74</v>
      </c>
      <c r="BH190" t="s">
        <v>74</v>
      </c>
      <c r="BI190">
        <v>9</v>
      </c>
      <c r="BJ190" t="s">
        <v>300</v>
      </c>
      <c r="BK190" t="s">
        <v>88</v>
      </c>
      <c r="BL190" t="s">
        <v>113</v>
      </c>
      <c r="BM190" t="s">
        <v>2879</v>
      </c>
      <c r="BN190" t="s">
        <v>74</v>
      </c>
      <c r="BO190" t="s">
        <v>74</v>
      </c>
      <c r="BP190" t="s">
        <v>74</v>
      </c>
      <c r="BQ190" t="s">
        <v>74</v>
      </c>
      <c r="BR190" t="s">
        <v>91</v>
      </c>
      <c r="BS190" t="s">
        <v>2880</v>
      </c>
      <c r="BT190" t="str">
        <f>HYPERLINK("https%3A%2F%2Fwww.webofscience.com%2Fwos%2Fwoscc%2Ffull-record%2FWOS:000173455400012","View Full Record in Web of Science")</f>
        <v>View Full Record in Web of Science</v>
      </c>
    </row>
    <row r="191" spans="1:72" x14ac:dyDescent="0.15">
      <c r="A191" t="s">
        <v>72</v>
      </c>
      <c r="B191" t="s">
        <v>2881</v>
      </c>
      <c r="C191" t="s">
        <v>74</v>
      </c>
      <c r="D191" t="s">
        <v>74</v>
      </c>
      <c r="E191" t="s">
        <v>74</v>
      </c>
      <c r="F191" t="s">
        <v>2881</v>
      </c>
      <c r="G191" t="s">
        <v>74</v>
      </c>
      <c r="H191" t="s">
        <v>74</v>
      </c>
      <c r="I191" t="s">
        <v>2882</v>
      </c>
      <c r="J191" t="s">
        <v>2883</v>
      </c>
      <c r="K191" t="s">
        <v>74</v>
      </c>
      <c r="L191" t="s">
        <v>74</v>
      </c>
      <c r="M191" t="s">
        <v>77</v>
      </c>
      <c r="N191" t="s">
        <v>120</v>
      </c>
      <c r="O191" t="s">
        <v>74</v>
      </c>
      <c r="P191" t="s">
        <v>74</v>
      </c>
      <c r="Q191" t="s">
        <v>74</v>
      </c>
      <c r="R191" t="s">
        <v>74</v>
      </c>
      <c r="S191" t="s">
        <v>74</v>
      </c>
      <c r="T191" t="s">
        <v>74</v>
      </c>
      <c r="U191" t="s">
        <v>2884</v>
      </c>
      <c r="V191" t="s">
        <v>2885</v>
      </c>
      <c r="W191" t="s">
        <v>2886</v>
      </c>
      <c r="X191" t="s">
        <v>2887</v>
      </c>
      <c r="Y191" t="s">
        <v>2888</v>
      </c>
      <c r="Z191" t="s">
        <v>74</v>
      </c>
      <c r="AA191" t="s">
        <v>74</v>
      </c>
      <c r="AB191" t="s">
        <v>74</v>
      </c>
      <c r="AC191" t="s">
        <v>74</v>
      </c>
      <c r="AD191" t="s">
        <v>74</v>
      </c>
      <c r="AE191" t="s">
        <v>74</v>
      </c>
      <c r="AF191" t="s">
        <v>74</v>
      </c>
      <c r="AG191">
        <v>27</v>
      </c>
      <c r="AH191">
        <v>9</v>
      </c>
      <c r="AI191">
        <v>10</v>
      </c>
      <c r="AJ191">
        <v>0</v>
      </c>
      <c r="AK191">
        <v>1</v>
      </c>
      <c r="AL191" t="s">
        <v>2889</v>
      </c>
      <c r="AM191" t="s">
        <v>80</v>
      </c>
      <c r="AN191" t="s">
        <v>2890</v>
      </c>
      <c r="AO191" t="s">
        <v>2891</v>
      </c>
      <c r="AP191" t="s">
        <v>74</v>
      </c>
      <c r="AQ191" t="s">
        <v>74</v>
      </c>
      <c r="AR191" t="s">
        <v>2883</v>
      </c>
      <c r="AS191" t="s">
        <v>2892</v>
      </c>
      <c r="AT191" t="s">
        <v>2079</v>
      </c>
      <c r="AU191">
        <v>2001</v>
      </c>
      <c r="AV191">
        <v>13</v>
      </c>
      <c r="AW191">
        <v>5</v>
      </c>
      <c r="AX191" t="s">
        <v>74</v>
      </c>
      <c r="AY191" t="s">
        <v>74</v>
      </c>
      <c r="AZ191" t="s">
        <v>74</v>
      </c>
      <c r="BA191" t="s">
        <v>74</v>
      </c>
      <c r="BB191">
        <v>333</v>
      </c>
      <c r="BC191">
        <v>337</v>
      </c>
      <c r="BD191" t="s">
        <v>74</v>
      </c>
      <c r="BE191" t="s">
        <v>2893</v>
      </c>
      <c r="BF191" t="str">
        <f>HYPERLINK("http://dx.doi.org/10.1046/j.1365-3121.2001.00356.x","http://dx.doi.org/10.1046/j.1365-3121.2001.00356.x")</f>
        <v>http://dx.doi.org/10.1046/j.1365-3121.2001.00356.x</v>
      </c>
      <c r="BG191" t="s">
        <v>74</v>
      </c>
      <c r="BH191" t="s">
        <v>74</v>
      </c>
      <c r="BI191">
        <v>5</v>
      </c>
      <c r="BJ191" t="s">
        <v>300</v>
      </c>
      <c r="BK191" t="s">
        <v>88</v>
      </c>
      <c r="BL191" t="s">
        <v>113</v>
      </c>
      <c r="BM191" t="s">
        <v>2894</v>
      </c>
      <c r="BN191" t="s">
        <v>74</v>
      </c>
      <c r="BO191" t="s">
        <v>74</v>
      </c>
      <c r="BP191" t="s">
        <v>74</v>
      </c>
      <c r="BQ191" t="s">
        <v>74</v>
      </c>
      <c r="BR191" t="s">
        <v>91</v>
      </c>
      <c r="BS191" t="s">
        <v>2895</v>
      </c>
      <c r="BT191" t="str">
        <f>HYPERLINK("https%3A%2F%2Fwww.webofscience.com%2Fwos%2Fwoscc%2Ffull-record%2FWOS:000173564900004","View Full Record in Web of Science")</f>
        <v>View Full Record in Web of Science</v>
      </c>
    </row>
    <row r="192" spans="1:72" x14ac:dyDescent="0.15">
      <c r="A192" t="s">
        <v>72</v>
      </c>
      <c r="B192" t="s">
        <v>2896</v>
      </c>
      <c r="C192" t="s">
        <v>74</v>
      </c>
      <c r="D192" t="s">
        <v>74</v>
      </c>
      <c r="E192" t="s">
        <v>74</v>
      </c>
      <c r="F192" t="s">
        <v>2896</v>
      </c>
      <c r="G192" t="s">
        <v>74</v>
      </c>
      <c r="H192" t="s">
        <v>74</v>
      </c>
      <c r="I192" t="s">
        <v>2897</v>
      </c>
      <c r="J192" t="s">
        <v>478</v>
      </c>
      <c r="K192" t="s">
        <v>74</v>
      </c>
      <c r="L192" t="s">
        <v>74</v>
      </c>
      <c r="M192" t="s">
        <v>77</v>
      </c>
      <c r="N192" t="s">
        <v>120</v>
      </c>
      <c r="O192" t="s">
        <v>74</v>
      </c>
      <c r="P192" t="s">
        <v>74</v>
      </c>
      <c r="Q192" t="s">
        <v>74</v>
      </c>
      <c r="R192" t="s">
        <v>74</v>
      </c>
      <c r="S192" t="s">
        <v>74</v>
      </c>
      <c r="T192" t="s">
        <v>2898</v>
      </c>
      <c r="U192" t="s">
        <v>2899</v>
      </c>
      <c r="V192" t="s">
        <v>2900</v>
      </c>
      <c r="W192" t="s">
        <v>2901</v>
      </c>
      <c r="X192" t="s">
        <v>2902</v>
      </c>
      <c r="Y192" t="s">
        <v>2903</v>
      </c>
      <c r="Z192" t="s">
        <v>74</v>
      </c>
      <c r="AA192" t="s">
        <v>2904</v>
      </c>
      <c r="AB192" t="s">
        <v>2905</v>
      </c>
      <c r="AC192" t="s">
        <v>74</v>
      </c>
      <c r="AD192" t="s">
        <v>74</v>
      </c>
      <c r="AE192" t="s">
        <v>74</v>
      </c>
      <c r="AF192" t="s">
        <v>74</v>
      </c>
      <c r="AG192">
        <v>45</v>
      </c>
      <c r="AH192">
        <v>59</v>
      </c>
      <c r="AI192">
        <v>67</v>
      </c>
      <c r="AJ192">
        <v>0</v>
      </c>
      <c r="AK192">
        <v>17</v>
      </c>
      <c r="AL192" t="s">
        <v>488</v>
      </c>
      <c r="AM192" t="s">
        <v>350</v>
      </c>
      <c r="AN192" t="s">
        <v>489</v>
      </c>
      <c r="AO192" t="s">
        <v>490</v>
      </c>
      <c r="AP192" t="s">
        <v>74</v>
      </c>
      <c r="AQ192" t="s">
        <v>74</v>
      </c>
      <c r="AR192" t="s">
        <v>492</v>
      </c>
      <c r="AS192" t="s">
        <v>493</v>
      </c>
      <c r="AT192" t="s">
        <v>2906</v>
      </c>
      <c r="AU192">
        <v>2001</v>
      </c>
      <c r="AV192">
        <v>192</v>
      </c>
      <c r="AW192">
        <v>1</v>
      </c>
      <c r="AX192" t="s">
        <v>74</v>
      </c>
      <c r="AY192" t="s">
        <v>74</v>
      </c>
      <c r="AZ192" t="s">
        <v>74</v>
      </c>
      <c r="BA192" t="s">
        <v>74</v>
      </c>
      <c r="BB192">
        <v>65</v>
      </c>
      <c r="BC192">
        <v>80</v>
      </c>
      <c r="BD192" t="s">
        <v>74</v>
      </c>
      <c r="BE192" t="s">
        <v>2907</v>
      </c>
      <c r="BF192" t="str">
        <f>HYPERLINK("http://dx.doi.org/10.1016/S0012-821X(01)00438-1","http://dx.doi.org/10.1016/S0012-821X(01)00438-1")</f>
        <v>http://dx.doi.org/10.1016/S0012-821X(01)00438-1</v>
      </c>
      <c r="BG192" t="s">
        <v>74</v>
      </c>
      <c r="BH192" t="s">
        <v>74</v>
      </c>
      <c r="BI192">
        <v>16</v>
      </c>
      <c r="BJ192" t="s">
        <v>388</v>
      </c>
      <c r="BK192" t="s">
        <v>88</v>
      </c>
      <c r="BL192" t="s">
        <v>388</v>
      </c>
      <c r="BM192" t="s">
        <v>2908</v>
      </c>
      <c r="BN192" t="s">
        <v>74</v>
      </c>
      <c r="BO192" t="s">
        <v>74</v>
      </c>
      <c r="BP192" t="s">
        <v>74</v>
      </c>
      <c r="BQ192" t="s">
        <v>74</v>
      </c>
      <c r="BR192" t="s">
        <v>91</v>
      </c>
      <c r="BS192" t="s">
        <v>2909</v>
      </c>
      <c r="BT192" t="str">
        <f>HYPERLINK("https%3A%2F%2Fwww.webofscience.com%2Fwos%2Fwoscc%2Ffull-record%2FWOS:000171453900007","View Full Record in Web of Science")</f>
        <v>View Full Record in Web of Science</v>
      </c>
    </row>
    <row r="193" spans="1:72" x14ac:dyDescent="0.15">
      <c r="A193" t="s">
        <v>72</v>
      </c>
      <c r="B193" t="s">
        <v>2910</v>
      </c>
      <c r="C193" t="s">
        <v>74</v>
      </c>
      <c r="D193" t="s">
        <v>74</v>
      </c>
      <c r="E193" t="s">
        <v>74</v>
      </c>
      <c r="F193" t="s">
        <v>2910</v>
      </c>
      <c r="G193" t="s">
        <v>74</v>
      </c>
      <c r="H193" t="s">
        <v>74</v>
      </c>
      <c r="I193" t="s">
        <v>2911</v>
      </c>
      <c r="J193" t="s">
        <v>2912</v>
      </c>
      <c r="K193" t="s">
        <v>74</v>
      </c>
      <c r="L193" t="s">
        <v>74</v>
      </c>
      <c r="M193" t="s">
        <v>77</v>
      </c>
      <c r="N193" t="s">
        <v>596</v>
      </c>
      <c r="O193" t="s">
        <v>74</v>
      </c>
      <c r="P193" t="s">
        <v>74</v>
      </c>
      <c r="Q193" t="s">
        <v>74</v>
      </c>
      <c r="R193" t="s">
        <v>74</v>
      </c>
      <c r="S193" t="s">
        <v>74</v>
      </c>
      <c r="T193" t="s">
        <v>74</v>
      </c>
      <c r="U193" t="s">
        <v>74</v>
      </c>
      <c r="V193" t="s">
        <v>74</v>
      </c>
      <c r="W193" t="s">
        <v>2913</v>
      </c>
      <c r="X193" t="s">
        <v>462</v>
      </c>
      <c r="Y193" t="s">
        <v>2914</v>
      </c>
      <c r="Z193" t="s">
        <v>74</v>
      </c>
      <c r="AA193" t="s">
        <v>74</v>
      </c>
      <c r="AB193" t="s">
        <v>74</v>
      </c>
      <c r="AC193" t="s">
        <v>74</v>
      </c>
      <c r="AD193" t="s">
        <v>74</v>
      </c>
      <c r="AE193" t="s">
        <v>74</v>
      </c>
      <c r="AF193" t="s">
        <v>74</v>
      </c>
      <c r="AG193">
        <v>1</v>
      </c>
      <c r="AH193">
        <v>0</v>
      </c>
      <c r="AI193">
        <v>0</v>
      </c>
      <c r="AJ193">
        <v>0</v>
      </c>
      <c r="AK193">
        <v>1</v>
      </c>
      <c r="AL193" t="s">
        <v>488</v>
      </c>
      <c r="AM193" t="s">
        <v>350</v>
      </c>
      <c r="AN193" t="s">
        <v>489</v>
      </c>
      <c r="AO193" t="s">
        <v>2915</v>
      </c>
      <c r="AP193" t="s">
        <v>74</v>
      </c>
      <c r="AQ193" t="s">
        <v>74</v>
      </c>
      <c r="AR193" t="s">
        <v>2912</v>
      </c>
      <c r="AS193" t="s">
        <v>2916</v>
      </c>
      <c r="AT193" t="s">
        <v>2906</v>
      </c>
      <c r="AU193">
        <v>2001</v>
      </c>
      <c r="AV193">
        <v>339</v>
      </c>
      <c r="AW193" t="s">
        <v>451</v>
      </c>
      <c r="AX193" t="s">
        <v>74</v>
      </c>
      <c r="AY193" t="s">
        <v>74</v>
      </c>
      <c r="AZ193" t="s">
        <v>74</v>
      </c>
      <c r="BA193" t="s">
        <v>74</v>
      </c>
      <c r="BB193">
        <v>523</v>
      </c>
      <c r="BC193">
        <v>523</v>
      </c>
      <c r="BD193" t="s">
        <v>74</v>
      </c>
      <c r="BE193" t="s">
        <v>2917</v>
      </c>
      <c r="BF193" t="str">
        <f>HYPERLINK("http://dx.doi.org/10.1016/S0040-1951(01)00122-6","http://dx.doi.org/10.1016/S0040-1951(01)00122-6")</f>
        <v>http://dx.doi.org/10.1016/S0040-1951(01)00122-6</v>
      </c>
      <c r="BG193" t="s">
        <v>74</v>
      </c>
      <c r="BH193" t="s">
        <v>74</v>
      </c>
      <c r="BI193">
        <v>1</v>
      </c>
      <c r="BJ193" t="s">
        <v>388</v>
      </c>
      <c r="BK193" t="s">
        <v>88</v>
      </c>
      <c r="BL193" t="s">
        <v>388</v>
      </c>
      <c r="BM193" t="s">
        <v>2918</v>
      </c>
      <c r="BN193" t="s">
        <v>74</v>
      </c>
      <c r="BO193" t="s">
        <v>74</v>
      </c>
      <c r="BP193" t="s">
        <v>74</v>
      </c>
      <c r="BQ193" t="s">
        <v>74</v>
      </c>
      <c r="BR193" t="s">
        <v>91</v>
      </c>
      <c r="BS193" t="s">
        <v>2919</v>
      </c>
      <c r="BT193" t="str">
        <f>HYPERLINK("https%3A%2F%2Fwww.webofscience.com%2Fwos%2Fwoscc%2Ffull-record%2FWOS:000172286200016","View Full Record in Web of Science")</f>
        <v>View Full Record in Web of Science</v>
      </c>
    </row>
    <row r="194" spans="1:72" x14ac:dyDescent="0.15">
      <c r="A194" t="s">
        <v>72</v>
      </c>
      <c r="B194" t="s">
        <v>2920</v>
      </c>
      <c r="C194" t="s">
        <v>74</v>
      </c>
      <c r="D194" t="s">
        <v>74</v>
      </c>
      <c r="E194" t="s">
        <v>74</v>
      </c>
      <c r="F194" t="s">
        <v>2920</v>
      </c>
      <c r="G194" t="s">
        <v>74</v>
      </c>
      <c r="H194" t="s">
        <v>74</v>
      </c>
      <c r="I194" t="s">
        <v>2921</v>
      </c>
      <c r="J194" t="s">
        <v>2922</v>
      </c>
      <c r="K194" t="s">
        <v>74</v>
      </c>
      <c r="L194" t="s">
        <v>74</v>
      </c>
      <c r="M194" t="s">
        <v>77</v>
      </c>
      <c r="N194" t="s">
        <v>120</v>
      </c>
      <c r="O194" t="s">
        <v>74</v>
      </c>
      <c r="P194" t="s">
        <v>74</v>
      </c>
      <c r="Q194" t="s">
        <v>74</v>
      </c>
      <c r="R194" t="s">
        <v>74</v>
      </c>
      <c r="S194" t="s">
        <v>74</v>
      </c>
      <c r="T194" t="s">
        <v>2923</v>
      </c>
      <c r="U194" t="s">
        <v>2924</v>
      </c>
      <c r="V194" t="s">
        <v>2925</v>
      </c>
      <c r="W194" t="s">
        <v>2926</v>
      </c>
      <c r="X194" t="s">
        <v>2927</v>
      </c>
      <c r="Y194" t="s">
        <v>2928</v>
      </c>
      <c r="Z194" t="s">
        <v>74</v>
      </c>
      <c r="AA194" t="s">
        <v>74</v>
      </c>
      <c r="AB194" t="s">
        <v>74</v>
      </c>
      <c r="AC194" t="s">
        <v>74</v>
      </c>
      <c r="AD194" t="s">
        <v>74</v>
      </c>
      <c r="AE194" t="s">
        <v>74</v>
      </c>
      <c r="AF194" t="s">
        <v>74</v>
      </c>
      <c r="AG194">
        <v>40</v>
      </c>
      <c r="AH194">
        <v>14</v>
      </c>
      <c r="AI194">
        <v>15</v>
      </c>
      <c r="AJ194">
        <v>2</v>
      </c>
      <c r="AK194">
        <v>12</v>
      </c>
      <c r="AL194" t="s">
        <v>2929</v>
      </c>
      <c r="AM194" t="s">
        <v>2930</v>
      </c>
      <c r="AN194" t="s">
        <v>2931</v>
      </c>
      <c r="AO194" t="s">
        <v>2932</v>
      </c>
      <c r="AP194" t="s">
        <v>74</v>
      </c>
      <c r="AQ194" t="s">
        <v>74</v>
      </c>
      <c r="AR194" t="s">
        <v>2933</v>
      </c>
      <c r="AS194" t="s">
        <v>2934</v>
      </c>
      <c r="AT194" t="s">
        <v>2935</v>
      </c>
      <c r="AU194">
        <v>2001</v>
      </c>
      <c r="AV194">
        <v>25</v>
      </c>
      <c r="AW194">
        <v>3</v>
      </c>
      <c r="AX194" t="s">
        <v>74</v>
      </c>
      <c r="AY194" t="s">
        <v>74</v>
      </c>
      <c r="AZ194" t="s">
        <v>74</v>
      </c>
      <c r="BA194" t="s">
        <v>74</v>
      </c>
      <c r="BB194">
        <v>281</v>
      </c>
      <c r="BC194">
        <v>292</v>
      </c>
      <c r="BD194" t="s">
        <v>74</v>
      </c>
      <c r="BE194" t="s">
        <v>2936</v>
      </c>
      <c r="BF194" t="str">
        <f>HYPERLINK("http://dx.doi.org/10.3354/ame025281","http://dx.doi.org/10.3354/ame025281")</f>
        <v>http://dx.doi.org/10.3354/ame025281</v>
      </c>
      <c r="BG194" t="s">
        <v>74</v>
      </c>
      <c r="BH194" t="s">
        <v>74</v>
      </c>
      <c r="BI194">
        <v>12</v>
      </c>
      <c r="BJ194" t="s">
        <v>2684</v>
      </c>
      <c r="BK194" t="s">
        <v>88</v>
      </c>
      <c r="BL194" t="s">
        <v>2685</v>
      </c>
      <c r="BM194" t="s">
        <v>2937</v>
      </c>
      <c r="BN194" t="s">
        <v>74</v>
      </c>
      <c r="BO194" t="s">
        <v>171</v>
      </c>
      <c r="BP194" t="s">
        <v>74</v>
      </c>
      <c r="BQ194" t="s">
        <v>74</v>
      </c>
      <c r="BR194" t="s">
        <v>91</v>
      </c>
      <c r="BS194" t="s">
        <v>2938</v>
      </c>
      <c r="BT194" t="str">
        <f>HYPERLINK("https%3A%2F%2Fwww.webofscience.com%2Fwos%2Fwoscc%2Ffull-record%2FWOS:000171854800008","View Full Record in Web of Science")</f>
        <v>View Full Record in Web of Science</v>
      </c>
    </row>
    <row r="195" spans="1:72" x14ac:dyDescent="0.15">
      <c r="A195" t="s">
        <v>72</v>
      </c>
      <c r="B195" t="s">
        <v>2939</v>
      </c>
      <c r="C195" t="s">
        <v>74</v>
      </c>
      <c r="D195" t="s">
        <v>74</v>
      </c>
      <c r="E195" t="s">
        <v>74</v>
      </c>
      <c r="F195" t="s">
        <v>2939</v>
      </c>
      <c r="G195" t="s">
        <v>74</v>
      </c>
      <c r="H195" t="s">
        <v>74</v>
      </c>
      <c r="I195" t="s">
        <v>2940</v>
      </c>
      <c r="J195" t="s">
        <v>2941</v>
      </c>
      <c r="K195" t="s">
        <v>74</v>
      </c>
      <c r="L195" t="s">
        <v>74</v>
      </c>
      <c r="M195" t="s">
        <v>77</v>
      </c>
      <c r="N195" t="s">
        <v>120</v>
      </c>
      <c r="O195" t="s">
        <v>74</v>
      </c>
      <c r="P195" t="s">
        <v>74</v>
      </c>
      <c r="Q195" t="s">
        <v>74</v>
      </c>
      <c r="R195" t="s">
        <v>74</v>
      </c>
      <c r="S195" t="s">
        <v>74</v>
      </c>
      <c r="T195" t="s">
        <v>2942</v>
      </c>
      <c r="U195" t="s">
        <v>2943</v>
      </c>
      <c r="V195" t="s">
        <v>2944</v>
      </c>
      <c r="W195" t="s">
        <v>2945</v>
      </c>
      <c r="X195" t="s">
        <v>2946</v>
      </c>
      <c r="Y195" t="s">
        <v>2947</v>
      </c>
      <c r="Z195" t="s">
        <v>74</v>
      </c>
      <c r="AA195" t="s">
        <v>2948</v>
      </c>
      <c r="AB195" t="s">
        <v>2949</v>
      </c>
      <c r="AC195" t="s">
        <v>74</v>
      </c>
      <c r="AD195" t="s">
        <v>74</v>
      </c>
      <c r="AE195" t="s">
        <v>74</v>
      </c>
      <c r="AF195" t="s">
        <v>74</v>
      </c>
      <c r="AG195">
        <v>15</v>
      </c>
      <c r="AH195">
        <v>27</v>
      </c>
      <c r="AI195">
        <v>29</v>
      </c>
      <c r="AJ195">
        <v>1</v>
      </c>
      <c r="AK195">
        <v>17</v>
      </c>
      <c r="AL195" t="s">
        <v>488</v>
      </c>
      <c r="AM195" t="s">
        <v>350</v>
      </c>
      <c r="AN195" t="s">
        <v>489</v>
      </c>
      <c r="AO195" t="s">
        <v>2950</v>
      </c>
      <c r="AP195" t="s">
        <v>74</v>
      </c>
      <c r="AQ195" t="s">
        <v>74</v>
      </c>
      <c r="AR195" t="s">
        <v>2951</v>
      </c>
      <c r="AS195" t="s">
        <v>2952</v>
      </c>
      <c r="AT195" t="s">
        <v>2935</v>
      </c>
      <c r="AU195">
        <v>2001</v>
      </c>
      <c r="AV195">
        <v>277</v>
      </c>
      <c r="AW195" t="s">
        <v>2229</v>
      </c>
      <c r="AX195" t="s">
        <v>74</v>
      </c>
      <c r="AY195" t="s">
        <v>74</v>
      </c>
      <c r="AZ195" t="s">
        <v>74</v>
      </c>
      <c r="BA195" t="s">
        <v>74</v>
      </c>
      <c r="BB195">
        <v>181</v>
      </c>
      <c r="BC195">
        <v>186</v>
      </c>
      <c r="BD195" t="s">
        <v>74</v>
      </c>
      <c r="BE195" t="s">
        <v>2953</v>
      </c>
      <c r="BF195" t="str">
        <f>HYPERLINK("http://dx.doi.org/10.1016/S0048-9697(00)00876-7","http://dx.doi.org/10.1016/S0048-9697(00)00876-7")</f>
        <v>http://dx.doi.org/10.1016/S0048-9697(00)00876-7</v>
      </c>
      <c r="BG195" t="s">
        <v>74</v>
      </c>
      <c r="BH195" t="s">
        <v>74</v>
      </c>
      <c r="BI195">
        <v>6</v>
      </c>
      <c r="BJ195" t="s">
        <v>2954</v>
      </c>
      <c r="BK195" t="s">
        <v>88</v>
      </c>
      <c r="BL195" t="s">
        <v>2955</v>
      </c>
      <c r="BM195" t="s">
        <v>2956</v>
      </c>
      <c r="BN195">
        <v>11589398</v>
      </c>
      <c r="BO195" t="s">
        <v>74</v>
      </c>
      <c r="BP195" t="s">
        <v>74</v>
      </c>
      <c r="BQ195" t="s">
        <v>74</v>
      </c>
      <c r="BR195" t="s">
        <v>91</v>
      </c>
      <c r="BS195" t="s">
        <v>2957</v>
      </c>
      <c r="BT195" t="str">
        <f>HYPERLINK("https%3A%2F%2Fwww.webofscience.com%2Fwos%2Fwoscc%2Ffull-record%2FWOS:000171222000019","View Full Record in Web of Science")</f>
        <v>View Full Record in Web of Science</v>
      </c>
    </row>
    <row r="196" spans="1:72" x14ac:dyDescent="0.15">
      <c r="A196" t="s">
        <v>72</v>
      </c>
      <c r="B196" t="s">
        <v>2958</v>
      </c>
      <c r="C196" t="s">
        <v>74</v>
      </c>
      <c r="D196" t="s">
        <v>74</v>
      </c>
      <c r="E196" t="s">
        <v>74</v>
      </c>
      <c r="F196" t="s">
        <v>2958</v>
      </c>
      <c r="G196" t="s">
        <v>74</v>
      </c>
      <c r="H196" t="s">
        <v>74</v>
      </c>
      <c r="I196" t="s">
        <v>2959</v>
      </c>
      <c r="J196" t="s">
        <v>522</v>
      </c>
      <c r="K196" t="s">
        <v>74</v>
      </c>
      <c r="L196" t="s">
        <v>74</v>
      </c>
      <c r="M196" t="s">
        <v>77</v>
      </c>
      <c r="N196" t="s">
        <v>120</v>
      </c>
      <c r="O196" t="s">
        <v>74</v>
      </c>
      <c r="P196" t="s">
        <v>74</v>
      </c>
      <c r="Q196" t="s">
        <v>74</v>
      </c>
      <c r="R196" t="s">
        <v>74</v>
      </c>
      <c r="S196" t="s">
        <v>74</v>
      </c>
      <c r="T196" t="s">
        <v>74</v>
      </c>
      <c r="U196" t="s">
        <v>2960</v>
      </c>
      <c r="V196" t="s">
        <v>2961</v>
      </c>
      <c r="W196" t="s">
        <v>2962</v>
      </c>
      <c r="X196" t="s">
        <v>2963</v>
      </c>
      <c r="Y196" t="s">
        <v>2964</v>
      </c>
      <c r="Z196" t="s">
        <v>2965</v>
      </c>
      <c r="AA196" t="s">
        <v>2966</v>
      </c>
      <c r="AB196" t="s">
        <v>2967</v>
      </c>
      <c r="AC196" t="s">
        <v>74</v>
      </c>
      <c r="AD196" t="s">
        <v>74</v>
      </c>
      <c r="AE196" t="s">
        <v>74</v>
      </c>
      <c r="AF196" t="s">
        <v>74</v>
      </c>
      <c r="AG196">
        <v>25</v>
      </c>
      <c r="AH196">
        <v>43</v>
      </c>
      <c r="AI196">
        <v>45</v>
      </c>
      <c r="AJ196">
        <v>1</v>
      </c>
      <c r="AK196">
        <v>7</v>
      </c>
      <c r="AL196" t="s">
        <v>149</v>
      </c>
      <c r="AM196" t="s">
        <v>150</v>
      </c>
      <c r="AN196" t="s">
        <v>151</v>
      </c>
      <c r="AO196" t="s">
        <v>531</v>
      </c>
      <c r="AP196" t="s">
        <v>532</v>
      </c>
      <c r="AQ196" t="s">
        <v>74</v>
      </c>
      <c r="AR196" t="s">
        <v>533</v>
      </c>
      <c r="AS196" t="s">
        <v>534</v>
      </c>
      <c r="AT196" t="s">
        <v>2968</v>
      </c>
      <c r="AU196">
        <v>2001</v>
      </c>
      <c r="AV196">
        <v>106</v>
      </c>
      <c r="AW196" t="s">
        <v>2969</v>
      </c>
      <c r="AX196" t="s">
        <v>74</v>
      </c>
      <c r="AY196" t="s">
        <v>74</v>
      </c>
      <c r="AZ196" t="s">
        <v>74</v>
      </c>
      <c r="BA196" t="s">
        <v>74</v>
      </c>
      <c r="BB196">
        <v>20653</v>
      </c>
      <c r="BC196">
        <v>20664</v>
      </c>
      <c r="BD196" t="s">
        <v>74</v>
      </c>
      <c r="BE196" t="s">
        <v>2970</v>
      </c>
      <c r="BF196" t="str">
        <f>HYPERLINK("http://dx.doi.org/10.1029/2001JD900136","http://dx.doi.org/10.1029/2001JD900136")</f>
        <v>http://dx.doi.org/10.1029/2001JD900136</v>
      </c>
      <c r="BG196" t="s">
        <v>74</v>
      </c>
      <c r="BH196" t="s">
        <v>74</v>
      </c>
      <c r="BI196">
        <v>12</v>
      </c>
      <c r="BJ196" t="s">
        <v>538</v>
      </c>
      <c r="BK196" t="s">
        <v>88</v>
      </c>
      <c r="BL196" t="s">
        <v>538</v>
      </c>
      <c r="BM196" t="s">
        <v>2971</v>
      </c>
      <c r="BN196" t="s">
        <v>74</v>
      </c>
      <c r="BO196" t="s">
        <v>563</v>
      </c>
      <c r="BP196" t="s">
        <v>74</v>
      </c>
      <c r="BQ196" t="s">
        <v>74</v>
      </c>
      <c r="BR196" t="s">
        <v>91</v>
      </c>
      <c r="BS196" t="s">
        <v>2972</v>
      </c>
      <c r="BT196" t="str">
        <f>HYPERLINK("https%3A%2F%2Fwww.webofscience.com%2Fwos%2Fwoscc%2Ffull-record%2FWOS:000171216300003","View Full Record in Web of Science")</f>
        <v>View Full Record in Web of Science</v>
      </c>
    </row>
    <row r="197" spans="1:72" x14ac:dyDescent="0.15">
      <c r="A197" t="s">
        <v>72</v>
      </c>
      <c r="B197" t="s">
        <v>2973</v>
      </c>
      <c r="C197" t="s">
        <v>74</v>
      </c>
      <c r="D197" t="s">
        <v>74</v>
      </c>
      <c r="E197" t="s">
        <v>74</v>
      </c>
      <c r="F197" t="s">
        <v>2973</v>
      </c>
      <c r="G197" t="s">
        <v>74</v>
      </c>
      <c r="H197" t="s">
        <v>74</v>
      </c>
      <c r="I197" t="s">
        <v>2974</v>
      </c>
      <c r="J197" t="s">
        <v>1867</v>
      </c>
      <c r="K197" t="s">
        <v>74</v>
      </c>
      <c r="L197" t="s">
        <v>74</v>
      </c>
      <c r="M197" t="s">
        <v>77</v>
      </c>
      <c r="N197" t="s">
        <v>414</v>
      </c>
      <c r="O197" t="s">
        <v>74</v>
      </c>
      <c r="P197" t="s">
        <v>74</v>
      </c>
      <c r="Q197" t="s">
        <v>74</v>
      </c>
      <c r="R197" t="s">
        <v>74</v>
      </c>
      <c r="S197" t="s">
        <v>74</v>
      </c>
      <c r="T197" t="s">
        <v>74</v>
      </c>
      <c r="U197" t="s">
        <v>2975</v>
      </c>
      <c r="V197" t="s">
        <v>74</v>
      </c>
      <c r="W197" t="s">
        <v>1103</v>
      </c>
      <c r="X197" t="s">
        <v>462</v>
      </c>
      <c r="Y197" t="s">
        <v>2976</v>
      </c>
      <c r="Z197" t="s">
        <v>74</v>
      </c>
      <c r="AA197" t="s">
        <v>74</v>
      </c>
      <c r="AB197" t="s">
        <v>74</v>
      </c>
      <c r="AC197" t="s">
        <v>74</v>
      </c>
      <c r="AD197" t="s">
        <v>74</v>
      </c>
      <c r="AE197" t="s">
        <v>74</v>
      </c>
      <c r="AF197" t="s">
        <v>74</v>
      </c>
      <c r="AG197">
        <v>12</v>
      </c>
      <c r="AH197">
        <v>6</v>
      </c>
      <c r="AI197">
        <v>10</v>
      </c>
      <c r="AJ197">
        <v>0</v>
      </c>
      <c r="AK197">
        <v>6</v>
      </c>
      <c r="AL197" t="s">
        <v>1872</v>
      </c>
      <c r="AM197" t="s">
        <v>150</v>
      </c>
      <c r="AN197" t="s">
        <v>1873</v>
      </c>
      <c r="AO197" t="s">
        <v>1874</v>
      </c>
      <c r="AP197" t="s">
        <v>74</v>
      </c>
      <c r="AQ197" t="s">
        <v>74</v>
      </c>
      <c r="AR197" t="s">
        <v>1867</v>
      </c>
      <c r="AS197" t="s">
        <v>1875</v>
      </c>
      <c r="AT197" t="s">
        <v>2977</v>
      </c>
      <c r="AU197">
        <v>2001</v>
      </c>
      <c r="AV197">
        <v>293</v>
      </c>
      <c r="AW197">
        <v>5538</v>
      </c>
      <c r="AX197" t="s">
        <v>74</v>
      </c>
      <c r="AY197" t="s">
        <v>74</v>
      </c>
      <c r="AZ197" t="s">
        <v>74</v>
      </c>
      <c r="BA197" t="s">
        <v>74</v>
      </c>
      <c r="BB197">
        <v>2218</v>
      </c>
      <c r="BC197">
        <v>2219</v>
      </c>
      <c r="BD197" t="s">
        <v>74</v>
      </c>
      <c r="BE197" t="s">
        <v>2978</v>
      </c>
      <c r="BF197" t="str">
        <f>HYPERLINK("http://dx.doi.org/10.1126/science.1064467","http://dx.doi.org/10.1126/science.1064467")</f>
        <v>http://dx.doi.org/10.1126/science.1064467</v>
      </c>
      <c r="BG197" t="s">
        <v>74</v>
      </c>
      <c r="BH197" t="s">
        <v>74</v>
      </c>
      <c r="BI197">
        <v>2</v>
      </c>
      <c r="BJ197" t="s">
        <v>575</v>
      </c>
      <c r="BK197" t="s">
        <v>88</v>
      </c>
      <c r="BL197" t="s">
        <v>576</v>
      </c>
      <c r="BM197" t="s">
        <v>2979</v>
      </c>
      <c r="BN197">
        <v>11567129</v>
      </c>
      <c r="BO197" t="s">
        <v>74</v>
      </c>
      <c r="BP197" t="s">
        <v>74</v>
      </c>
      <c r="BQ197" t="s">
        <v>74</v>
      </c>
      <c r="BR197" t="s">
        <v>91</v>
      </c>
      <c r="BS197" t="s">
        <v>2980</v>
      </c>
      <c r="BT197" t="str">
        <f>HYPERLINK("https%3A%2F%2Fwww.webofscience.com%2Fwos%2Fwoscc%2Ffull-record%2FWOS:000171139400032","View Full Record in Web of Science")</f>
        <v>View Full Record in Web of Science</v>
      </c>
    </row>
    <row r="198" spans="1:72" x14ac:dyDescent="0.15">
      <c r="A198" t="s">
        <v>72</v>
      </c>
      <c r="B198" t="s">
        <v>73</v>
      </c>
      <c r="C198" t="s">
        <v>74</v>
      </c>
      <c r="D198" t="s">
        <v>74</v>
      </c>
      <c r="E198" t="s">
        <v>74</v>
      </c>
      <c r="F198" t="s">
        <v>73</v>
      </c>
      <c r="G198" t="s">
        <v>74</v>
      </c>
      <c r="H198" t="s">
        <v>74</v>
      </c>
      <c r="I198" t="s">
        <v>2981</v>
      </c>
      <c r="J198" t="s">
        <v>2982</v>
      </c>
      <c r="K198" t="s">
        <v>74</v>
      </c>
      <c r="L198" t="s">
        <v>74</v>
      </c>
      <c r="M198" t="s">
        <v>77</v>
      </c>
      <c r="N198" t="s">
        <v>78</v>
      </c>
      <c r="O198" t="s">
        <v>74</v>
      </c>
      <c r="P198" t="s">
        <v>74</v>
      </c>
      <c r="Q198" t="s">
        <v>74</v>
      </c>
      <c r="R198" t="s">
        <v>74</v>
      </c>
      <c r="S198" t="s">
        <v>74</v>
      </c>
      <c r="T198" t="s">
        <v>74</v>
      </c>
      <c r="U198" t="s">
        <v>74</v>
      </c>
      <c r="V198" t="s">
        <v>74</v>
      </c>
      <c r="W198" t="s">
        <v>74</v>
      </c>
      <c r="X198" t="s">
        <v>74</v>
      </c>
      <c r="Y198" t="s">
        <v>74</v>
      </c>
      <c r="Z198" t="s">
        <v>74</v>
      </c>
      <c r="AA198" t="s">
        <v>74</v>
      </c>
      <c r="AB198" t="s">
        <v>74</v>
      </c>
      <c r="AC198" t="s">
        <v>74</v>
      </c>
      <c r="AD198" t="s">
        <v>74</v>
      </c>
      <c r="AE198" t="s">
        <v>74</v>
      </c>
      <c r="AF198" t="s">
        <v>74</v>
      </c>
      <c r="AG198">
        <v>0</v>
      </c>
      <c r="AH198">
        <v>0</v>
      </c>
      <c r="AI198">
        <v>0</v>
      </c>
      <c r="AJ198">
        <v>0</v>
      </c>
      <c r="AK198">
        <v>1</v>
      </c>
      <c r="AL198" t="s">
        <v>2983</v>
      </c>
      <c r="AM198" t="s">
        <v>2984</v>
      </c>
      <c r="AN198" t="s">
        <v>2985</v>
      </c>
      <c r="AO198" t="s">
        <v>2986</v>
      </c>
      <c r="AP198" t="s">
        <v>2987</v>
      </c>
      <c r="AQ198" t="s">
        <v>74</v>
      </c>
      <c r="AR198" t="s">
        <v>2988</v>
      </c>
      <c r="AS198" t="s">
        <v>2989</v>
      </c>
      <c r="AT198" t="s">
        <v>2990</v>
      </c>
      <c r="AU198">
        <v>2001</v>
      </c>
      <c r="AV198" t="s">
        <v>74</v>
      </c>
      <c r="AW198">
        <v>18</v>
      </c>
      <c r="AX198" t="s">
        <v>74</v>
      </c>
      <c r="AY198" t="s">
        <v>74</v>
      </c>
      <c r="AZ198" t="s">
        <v>74</v>
      </c>
      <c r="BA198" t="s">
        <v>74</v>
      </c>
      <c r="BB198">
        <v>557</v>
      </c>
      <c r="BC198">
        <v>557</v>
      </c>
      <c r="BD198" t="s">
        <v>74</v>
      </c>
      <c r="BE198" t="s">
        <v>74</v>
      </c>
      <c r="BF198" t="s">
        <v>74</v>
      </c>
      <c r="BG198" t="s">
        <v>74</v>
      </c>
      <c r="BH198" t="s">
        <v>74</v>
      </c>
      <c r="BI198">
        <v>1</v>
      </c>
      <c r="BJ198" t="s">
        <v>2991</v>
      </c>
      <c r="BK198" t="s">
        <v>88</v>
      </c>
      <c r="BL198" t="s">
        <v>517</v>
      </c>
      <c r="BM198" t="s">
        <v>2992</v>
      </c>
      <c r="BN198" t="s">
        <v>74</v>
      </c>
      <c r="BO198" t="s">
        <v>74</v>
      </c>
      <c r="BP198" t="s">
        <v>74</v>
      </c>
      <c r="BQ198" t="s">
        <v>74</v>
      </c>
      <c r="BR198" t="s">
        <v>91</v>
      </c>
      <c r="BS198" t="s">
        <v>2993</v>
      </c>
      <c r="BT198" t="str">
        <f>HYPERLINK("https%3A%2F%2Fwww.webofscience.com%2Fwos%2Fwoscc%2Ffull-record%2FWOS:000171104500010","View Full Record in Web of Science")</f>
        <v>View Full Record in Web of Science</v>
      </c>
    </row>
    <row r="199" spans="1:72" x14ac:dyDescent="0.15">
      <c r="A199" t="s">
        <v>72</v>
      </c>
      <c r="B199" t="s">
        <v>2994</v>
      </c>
      <c r="C199" t="s">
        <v>74</v>
      </c>
      <c r="D199" t="s">
        <v>74</v>
      </c>
      <c r="E199" t="s">
        <v>74</v>
      </c>
      <c r="F199" t="s">
        <v>2994</v>
      </c>
      <c r="G199" t="s">
        <v>74</v>
      </c>
      <c r="H199" t="s">
        <v>74</v>
      </c>
      <c r="I199" t="s">
        <v>2995</v>
      </c>
      <c r="J199" t="s">
        <v>522</v>
      </c>
      <c r="K199" t="s">
        <v>74</v>
      </c>
      <c r="L199" t="s">
        <v>74</v>
      </c>
      <c r="M199" t="s">
        <v>77</v>
      </c>
      <c r="N199" t="s">
        <v>120</v>
      </c>
      <c r="O199" t="s">
        <v>74</v>
      </c>
      <c r="P199" t="s">
        <v>74</v>
      </c>
      <c r="Q199" t="s">
        <v>74</v>
      </c>
      <c r="R199" t="s">
        <v>74</v>
      </c>
      <c r="S199" t="s">
        <v>74</v>
      </c>
      <c r="T199" t="s">
        <v>74</v>
      </c>
      <c r="U199" t="s">
        <v>2996</v>
      </c>
      <c r="V199" t="s">
        <v>2997</v>
      </c>
      <c r="W199" t="s">
        <v>2998</v>
      </c>
      <c r="X199" t="s">
        <v>584</v>
      </c>
      <c r="Y199" t="s">
        <v>2999</v>
      </c>
      <c r="Z199" t="s">
        <v>586</v>
      </c>
      <c r="AA199" t="s">
        <v>3000</v>
      </c>
      <c r="AB199" t="s">
        <v>3001</v>
      </c>
      <c r="AC199" t="s">
        <v>74</v>
      </c>
      <c r="AD199" t="s">
        <v>74</v>
      </c>
      <c r="AE199" t="s">
        <v>74</v>
      </c>
      <c r="AF199" t="s">
        <v>74</v>
      </c>
      <c r="AG199">
        <v>44</v>
      </c>
      <c r="AH199">
        <v>63</v>
      </c>
      <c r="AI199">
        <v>70</v>
      </c>
      <c r="AJ199">
        <v>0</v>
      </c>
      <c r="AK199">
        <v>11</v>
      </c>
      <c r="AL199" t="s">
        <v>149</v>
      </c>
      <c r="AM199" t="s">
        <v>150</v>
      </c>
      <c r="AN199" t="s">
        <v>151</v>
      </c>
      <c r="AO199" t="s">
        <v>531</v>
      </c>
      <c r="AP199" t="s">
        <v>532</v>
      </c>
      <c r="AQ199" t="s">
        <v>74</v>
      </c>
      <c r="AR199" t="s">
        <v>533</v>
      </c>
      <c r="AS199" t="s">
        <v>534</v>
      </c>
      <c r="AT199" t="s">
        <v>3002</v>
      </c>
      <c r="AU199">
        <v>2001</v>
      </c>
      <c r="AV199">
        <v>106</v>
      </c>
      <c r="AW199" t="s">
        <v>3003</v>
      </c>
      <c r="AX199" t="s">
        <v>74</v>
      </c>
      <c r="AY199" t="s">
        <v>74</v>
      </c>
      <c r="AZ199" t="s">
        <v>74</v>
      </c>
      <c r="BA199" t="s">
        <v>74</v>
      </c>
      <c r="BB199">
        <v>20161</v>
      </c>
      <c r="BC199">
        <v>20173</v>
      </c>
      <c r="BD199" t="s">
        <v>74</v>
      </c>
      <c r="BE199" t="s">
        <v>3004</v>
      </c>
      <c r="BF199" t="str">
        <f>HYPERLINK("http://dx.doi.org/10.1029/2000JD900643","http://dx.doi.org/10.1029/2000JD900643")</f>
        <v>http://dx.doi.org/10.1029/2000JD900643</v>
      </c>
      <c r="BG199" t="s">
        <v>74</v>
      </c>
      <c r="BH199" t="s">
        <v>74</v>
      </c>
      <c r="BI199">
        <v>13</v>
      </c>
      <c r="BJ199" t="s">
        <v>538</v>
      </c>
      <c r="BK199" t="s">
        <v>88</v>
      </c>
      <c r="BL199" t="s">
        <v>538</v>
      </c>
      <c r="BM199" t="s">
        <v>3005</v>
      </c>
      <c r="BN199" t="s">
        <v>74</v>
      </c>
      <c r="BO199" t="s">
        <v>171</v>
      </c>
      <c r="BP199" t="s">
        <v>74</v>
      </c>
      <c r="BQ199" t="s">
        <v>74</v>
      </c>
      <c r="BR199" t="s">
        <v>91</v>
      </c>
      <c r="BS199" t="s">
        <v>3006</v>
      </c>
      <c r="BT199" t="str">
        <f>HYPERLINK("https%3A%2F%2Fwww.webofscience.com%2Fwos%2Fwoscc%2Ffull-record%2FWOS:000171044200013","View Full Record in Web of Science")</f>
        <v>View Full Record in Web of Science</v>
      </c>
    </row>
    <row r="200" spans="1:72" x14ac:dyDescent="0.15">
      <c r="A200" t="s">
        <v>72</v>
      </c>
      <c r="B200" t="s">
        <v>3007</v>
      </c>
      <c r="C200" t="s">
        <v>74</v>
      </c>
      <c r="D200" t="s">
        <v>74</v>
      </c>
      <c r="E200" t="s">
        <v>74</v>
      </c>
      <c r="F200" t="s">
        <v>3007</v>
      </c>
      <c r="G200" t="s">
        <v>74</v>
      </c>
      <c r="H200" t="s">
        <v>74</v>
      </c>
      <c r="I200" t="s">
        <v>3008</v>
      </c>
      <c r="J200" t="s">
        <v>522</v>
      </c>
      <c r="K200" t="s">
        <v>74</v>
      </c>
      <c r="L200" t="s">
        <v>74</v>
      </c>
      <c r="M200" t="s">
        <v>77</v>
      </c>
      <c r="N200" t="s">
        <v>120</v>
      </c>
      <c r="O200" t="s">
        <v>74</v>
      </c>
      <c r="P200" t="s">
        <v>74</v>
      </c>
      <c r="Q200" t="s">
        <v>74</v>
      </c>
      <c r="R200" t="s">
        <v>74</v>
      </c>
      <c r="S200" t="s">
        <v>74</v>
      </c>
      <c r="T200" t="s">
        <v>74</v>
      </c>
      <c r="U200" t="s">
        <v>3009</v>
      </c>
      <c r="V200" t="s">
        <v>3010</v>
      </c>
      <c r="W200" t="s">
        <v>3011</v>
      </c>
      <c r="X200" t="s">
        <v>3012</v>
      </c>
      <c r="Y200" t="s">
        <v>74</v>
      </c>
      <c r="Z200" t="s">
        <v>3013</v>
      </c>
      <c r="AA200" t="s">
        <v>3014</v>
      </c>
      <c r="AB200" t="s">
        <v>3015</v>
      </c>
      <c r="AC200" t="s">
        <v>74</v>
      </c>
      <c r="AD200" t="s">
        <v>74</v>
      </c>
      <c r="AE200" t="s">
        <v>74</v>
      </c>
      <c r="AF200" t="s">
        <v>74</v>
      </c>
      <c r="AG200">
        <v>48</v>
      </c>
      <c r="AH200">
        <v>33</v>
      </c>
      <c r="AI200">
        <v>39</v>
      </c>
      <c r="AJ200">
        <v>1</v>
      </c>
      <c r="AK200">
        <v>14</v>
      </c>
      <c r="AL200" t="s">
        <v>149</v>
      </c>
      <c r="AM200" t="s">
        <v>150</v>
      </c>
      <c r="AN200" t="s">
        <v>151</v>
      </c>
      <c r="AO200" t="s">
        <v>531</v>
      </c>
      <c r="AP200" t="s">
        <v>532</v>
      </c>
      <c r="AQ200" t="s">
        <v>74</v>
      </c>
      <c r="AR200" t="s">
        <v>533</v>
      </c>
      <c r="AS200" t="s">
        <v>534</v>
      </c>
      <c r="AT200" t="s">
        <v>3002</v>
      </c>
      <c r="AU200">
        <v>2001</v>
      </c>
      <c r="AV200">
        <v>106</v>
      </c>
      <c r="AW200" t="s">
        <v>3003</v>
      </c>
      <c r="AX200" t="s">
        <v>74</v>
      </c>
      <c r="AY200" t="s">
        <v>74</v>
      </c>
      <c r="AZ200" t="s">
        <v>74</v>
      </c>
      <c r="BA200" t="s">
        <v>74</v>
      </c>
      <c r="BB200">
        <v>20465</v>
      </c>
      <c r="BC200">
        <v>20481</v>
      </c>
      <c r="BD200" t="s">
        <v>74</v>
      </c>
      <c r="BE200" t="s">
        <v>3016</v>
      </c>
      <c r="BF200" t="str">
        <f>HYPERLINK("http://dx.doi.org/10.1029/2001JD900190","http://dx.doi.org/10.1029/2001JD900190")</f>
        <v>http://dx.doi.org/10.1029/2001JD900190</v>
      </c>
      <c r="BG200" t="s">
        <v>74</v>
      </c>
      <c r="BH200" t="s">
        <v>74</v>
      </c>
      <c r="BI200">
        <v>17</v>
      </c>
      <c r="BJ200" t="s">
        <v>538</v>
      </c>
      <c r="BK200" t="s">
        <v>88</v>
      </c>
      <c r="BL200" t="s">
        <v>538</v>
      </c>
      <c r="BM200" t="s">
        <v>3005</v>
      </c>
      <c r="BN200" t="s">
        <v>74</v>
      </c>
      <c r="BO200" t="s">
        <v>171</v>
      </c>
      <c r="BP200" t="s">
        <v>74</v>
      </c>
      <c r="BQ200" t="s">
        <v>74</v>
      </c>
      <c r="BR200" t="s">
        <v>91</v>
      </c>
      <c r="BS200" t="s">
        <v>3017</v>
      </c>
      <c r="BT200" t="str">
        <f>HYPERLINK("https%3A%2F%2Fwww.webofscience.com%2Fwos%2Fwoscc%2Ffull-record%2FWOS:000171044200033","View Full Record in Web of Science")</f>
        <v>View Full Record in Web of Science</v>
      </c>
    </row>
    <row r="201" spans="1:72" x14ac:dyDescent="0.15">
      <c r="A201" t="s">
        <v>72</v>
      </c>
      <c r="B201" t="s">
        <v>3018</v>
      </c>
      <c r="C201" t="s">
        <v>74</v>
      </c>
      <c r="D201" t="s">
        <v>74</v>
      </c>
      <c r="E201" t="s">
        <v>74</v>
      </c>
      <c r="F201" t="s">
        <v>3018</v>
      </c>
      <c r="G201" t="s">
        <v>74</v>
      </c>
      <c r="H201" t="s">
        <v>74</v>
      </c>
      <c r="I201" t="s">
        <v>3019</v>
      </c>
      <c r="J201" t="s">
        <v>478</v>
      </c>
      <c r="K201" t="s">
        <v>74</v>
      </c>
      <c r="L201" t="s">
        <v>74</v>
      </c>
      <c r="M201" t="s">
        <v>77</v>
      </c>
      <c r="N201" t="s">
        <v>120</v>
      </c>
      <c r="O201" t="s">
        <v>74</v>
      </c>
      <c r="P201" t="s">
        <v>74</v>
      </c>
      <c r="Q201" t="s">
        <v>74</v>
      </c>
      <c r="R201" t="s">
        <v>74</v>
      </c>
      <c r="S201" t="s">
        <v>74</v>
      </c>
      <c r="T201" t="s">
        <v>3020</v>
      </c>
      <c r="U201" t="s">
        <v>3021</v>
      </c>
      <c r="V201" t="s">
        <v>3022</v>
      </c>
      <c r="W201" t="s">
        <v>3023</v>
      </c>
      <c r="X201" t="s">
        <v>1563</v>
      </c>
      <c r="Y201" t="s">
        <v>3024</v>
      </c>
      <c r="Z201" t="s">
        <v>3025</v>
      </c>
      <c r="AA201" t="s">
        <v>3026</v>
      </c>
      <c r="AB201" t="s">
        <v>74</v>
      </c>
      <c r="AC201" t="s">
        <v>74</v>
      </c>
      <c r="AD201" t="s">
        <v>74</v>
      </c>
      <c r="AE201" t="s">
        <v>74</v>
      </c>
      <c r="AF201" t="s">
        <v>74</v>
      </c>
      <c r="AG201">
        <v>59</v>
      </c>
      <c r="AH201">
        <v>68</v>
      </c>
      <c r="AI201">
        <v>75</v>
      </c>
      <c r="AJ201">
        <v>0</v>
      </c>
      <c r="AK201">
        <v>6</v>
      </c>
      <c r="AL201" t="s">
        <v>488</v>
      </c>
      <c r="AM201" t="s">
        <v>350</v>
      </c>
      <c r="AN201" t="s">
        <v>489</v>
      </c>
      <c r="AO201" t="s">
        <v>490</v>
      </c>
      <c r="AP201" t="s">
        <v>491</v>
      </c>
      <c r="AQ201" t="s">
        <v>74</v>
      </c>
      <c r="AR201" t="s">
        <v>492</v>
      </c>
      <c r="AS201" t="s">
        <v>493</v>
      </c>
      <c r="AT201" t="s">
        <v>3027</v>
      </c>
      <c r="AU201">
        <v>2001</v>
      </c>
      <c r="AV201">
        <v>191</v>
      </c>
      <c r="AW201" t="s">
        <v>451</v>
      </c>
      <c r="AX201" t="s">
        <v>74</v>
      </c>
      <c r="AY201" t="s">
        <v>74</v>
      </c>
      <c r="AZ201" t="s">
        <v>74</v>
      </c>
      <c r="BA201" t="s">
        <v>74</v>
      </c>
      <c r="BB201">
        <v>241</v>
      </c>
      <c r="BC201">
        <v>255</v>
      </c>
      <c r="BD201" t="s">
        <v>74</v>
      </c>
      <c r="BE201" t="s">
        <v>3028</v>
      </c>
      <c r="BF201" t="str">
        <f>HYPERLINK("http://dx.doi.org/10.1016/S0012-821X(01)00413-7","http://dx.doi.org/10.1016/S0012-821X(01)00413-7")</f>
        <v>http://dx.doi.org/10.1016/S0012-821X(01)00413-7</v>
      </c>
      <c r="BG201" t="s">
        <v>74</v>
      </c>
      <c r="BH201" t="s">
        <v>74</v>
      </c>
      <c r="BI201">
        <v>15</v>
      </c>
      <c r="BJ201" t="s">
        <v>388</v>
      </c>
      <c r="BK201" t="s">
        <v>88</v>
      </c>
      <c r="BL201" t="s">
        <v>388</v>
      </c>
      <c r="BM201" t="s">
        <v>3029</v>
      </c>
      <c r="BN201" t="s">
        <v>74</v>
      </c>
      <c r="BO201" t="s">
        <v>74</v>
      </c>
      <c r="BP201" t="s">
        <v>74</v>
      </c>
      <c r="BQ201" t="s">
        <v>74</v>
      </c>
      <c r="BR201" t="s">
        <v>91</v>
      </c>
      <c r="BS201" t="s">
        <v>3030</v>
      </c>
      <c r="BT201" t="str">
        <f>HYPERLINK("https%3A%2F%2Fwww.webofscience.com%2Fwos%2Fwoscc%2Ffull-record%2FWOS:000171382500007","View Full Record in Web of Science")</f>
        <v>View Full Record in Web of Science</v>
      </c>
    </row>
    <row r="202" spans="1:72" x14ac:dyDescent="0.15">
      <c r="A202" t="s">
        <v>72</v>
      </c>
      <c r="B202" t="s">
        <v>3031</v>
      </c>
      <c r="C202" t="s">
        <v>74</v>
      </c>
      <c r="D202" t="s">
        <v>74</v>
      </c>
      <c r="E202" t="s">
        <v>74</v>
      </c>
      <c r="F202" t="s">
        <v>3031</v>
      </c>
      <c r="G202" t="s">
        <v>74</v>
      </c>
      <c r="H202" t="s">
        <v>74</v>
      </c>
      <c r="I202" t="s">
        <v>3032</v>
      </c>
      <c r="J202" t="s">
        <v>613</v>
      </c>
      <c r="K202" t="s">
        <v>74</v>
      </c>
      <c r="L202" t="s">
        <v>74</v>
      </c>
      <c r="M202" t="s">
        <v>77</v>
      </c>
      <c r="N202" t="s">
        <v>120</v>
      </c>
      <c r="O202" t="s">
        <v>74</v>
      </c>
      <c r="P202" t="s">
        <v>74</v>
      </c>
      <c r="Q202" t="s">
        <v>74</v>
      </c>
      <c r="R202" t="s">
        <v>74</v>
      </c>
      <c r="S202" t="s">
        <v>74</v>
      </c>
      <c r="T202" t="s">
        <v>74</v>
      </c>
      <c r="U202" t="s">
        <v>3033</v>
      </c>
      <c r="V202" t="s">
        <v>3034</v>
      </c>
      <c r="W202" t="s">
        <v>3035</v>
      </c>
      <c r="X202" t="s">
        <v>3036</v>
      </c>
      <c r="Y202" t="s">
        <v>3037</v>
      </c>
      <c r="Z202" t="s">
        <v>3038</v>
      </c>
      <c r="AA202" t="s">
        <v>3039</v>
      </c>
      <c r="AB202" t="s">
        <v>3040</v>
      </c>
      <c r="AC202" t="s">
        <v>74</v>
      </c>
      <c r="AD202" t="s">
        <v>74</v>
      </c>
      <c r="AE202" t="s">
        <v>74</v>
      </c>
      <c r="AF202" t="s">
        <v>74</v>
      </c>
      <c r="AG202">
        <v>17</v>
      </c>
      <c r="AH202">
        <v>81</v>
      </c>
      <c r="AI202">
        <v>92</v>
      </c>
      <c r="AJ202">
        <v>0</v>
      </c>
      <c r="AK202">
        <v>9</v>
      </c>
      <c r="AL202" t="s">
        <v>149</v>
      </c>
      <c r="AM202" t="s">
        <v>150</v>
      </c>
      <c r="AN202" t="s">
        <v>151</v>
      </c>
      <c r="AO202" t="s">
        <v>619</v>
      </c>
      <c r="AP202" t="s">
        <v>1094</v>
      </c>
      <c r="AQ202" t="s">
        <v>74</v>
      </c>
      <c r="AR202" t="s">
        <v>620</v>
      </c>
      <c r="AS202" t="s">
        <v>621</v>
      </c>
      <c r="AT202" t="s">
        <v>3027</v>
      </c>
      <c r="AU202">
        <v>2001</v>
      </c>
      <c r="AV202">
        <v>28</v>
      </c>
      <c r="AW202">
        <v>18</v>
      </c>
      <c r="AX202" t="s">
        <v>74</v>
      </c>
      <c r="AY202" t="s">
        <v>74</v>
      </c>
      <c r="AZ202" t="s">
        <v>74</v>
      </c>
      <c r="BA202" t="s">
        <v>74</v>
      </c>
      <c r="BB202">
        <v>3493</v>
      </c>
      <c r="BC202">
        <v>3496</v>
      </c>
      <c r="BD202" t="s">
        <v>74</v>
      </c>
      <c r="BE202" t="s">
        <v>3041</v>
      </c>
      <c r="BF202" t="str">
        <f>HYPERLINK("http://dx.doi.org/10.1029/2000GL011788","http://dx.doi.org/10.1029/2000GL011788")</f>
        <v>http://dx.doi.org/10.1029/2000GL011788</v>
      </c>
      <c r="BG202" t="s">
        <v>74</v>
      </c>
      <c r="BH202" t="s">
        <v>74</v>
      </c>
      <c r="BI202">
        <v>4</v>
      </c>
      <c r="BJ202" t="s">
        <v>300</v>
      </c>
      <c r="BK202" t="s">
        <v>88</v>
      </c>
      <c r="BL202" t="s">
        <v>113</v>
      </c>
      <c r="BM202" t="s">
        <v>3042</v>
      </c>
      <c r="BN202" t="s">
        <v>74</v>
      </c>
      <c r="BO202" t="s">
        <v>563</v>
      </c>
      <c r="BP202" t="s">
        <v>74</v>
      </c>
      <c r="BQ202" t="s">
        <v>74</v>
      </c>
      <c r="BR202" t="s">
        <v>91</v>
      </c>
      <c r="BS202" t="s">
        <v>3043</v>
      </c>
      <c r="BT202" t="str">
        <f>HYPERLINK("https%3A%2F%2Fwww.webofscience.com%2Fwos%2Fwoscc%2Ffull-record%2FWOS:000171035000019","View Full Record in Web of Science")</f>
        <v>View Full Record in Web of Science</v>
      </c>
    </row>
    <row r="203" spans="1:72" x14ac:dyDescent="0.15">
      <c r="A203" t="s">
        <v>72</v>
      </c>
      <c r="B203" t="s">
        <v>3044</v>
      </c>
      <c r="C203" t="s">
        <v>74</v>
      </c>
      <c r="D203" t="s">
        <v>74</v>
      </c>
      <c r="E203" t="s">
        <v>74</v>
      </c>
      <c r="F203" t="s">
        <v>3044</v>
      </c>
      <c r="G203" t="s">
        <v>74</v>
      </c>
      <c r="H203" t="s">
        <v>74</v>
      </c>
      <c r="I203" t="s">
        <v>3045</v>
      </c>
      <c r="J203" t="s">
        <v>613</v>
      </c>
      <c r="K203" t="s">
        <v>74</v>
      </c>
      <c r="L203" t="s">
        <v>74</v>
      </c>
      <c r="M203" t="s">
        <v>77</v>
      </c>
      <c r="N203" t="s">
        <v>120</v>
      </c>
      <c r="O203" t="s">
        <v>74</v>
      </c>
      <c r="P203" t="s">
        <v>74</v>
      </c>
      <c r="Q203" t="s">
        <v>74</v>
      </c>
      <c r="R203" t="s">
        <v>74</v>
      </c>
      <c r="S203" t="s">
        <v>74</v>
      </c>
      <c r="T203" t="s">
        <v>74</v>
      </c>
      <c r="U203" t="s">
        <v>3046</v>
      </c>
      <c r="V203" t="s">
        <v>3047</v>
      </c>
      <c r="W203" t="s">
        <v>2692</v>
      </c>
      <c r="X203" t="s">
        <v>2693</v>
      </c>
      <c r="Y203" t="s">
        <v>3048</v>
      </c>
      <c r="Z203" t="s">
        <v>74</v>
      </c>
      <c r="AA203" t="s">
        <v>3000</v>
      </c>
      <c r="AB203" t="s">
        <v>3049</v>
      </c>
      <c r="AC203" t="s">
        <v>74</v>
      </c>
      <c r="AD203" t="s">
        <v>74</v>
      </c>
      <c r="AE203" t="s">
        <v>74</v>
      </c>
      <c r="AF203" t="s">
        <v>74</v>
      </c>
      <c r="AG203">
        <v>15</v>
      </c>
      <c r="AH203">
        <v>181</v>
      </c>
      <c r="AI203">
        <v>203</v>
      </c>
      <c r="AJ203">
        <v>2</v>
      </c>
      <c r="AK203">
        <v>29</v>
      </c>
      <c r="AL203" t="s">
        <v>149</v>
      </c>
      <c r="AM203" t="s">
        <v>150</v>
      </c>
      <c r="AN203" t="s">
        <v>151</v>
      </c>
      <c r="AO203" t="s">
        <v>619</v>
      </c>
      <c r="AP203" t="s">
        <v>74</v>
      </c>
      <c r="AQ203" t="s">
        <v>74</v>
      </c>
      <c r="AR203" t="s">
        <v>620</v>
      </c>
      <c r="AS203" t="s">
        <v>621</v>
      </c>
      <c r="AT203" t="s">
        <v>3027</v>
      </c>
      <c r="AU203">
        <v>2001</v>
      </c>
      <c r="AV203">
        <v>28</v>
      </c>
      <c r="AW203">
        <v>18</v>
      </c>
      <c r="AX203" t="s">
        <v>74</v>
      </c>
      <c r="AY203" t="s">
        <v>74</v>
      </c>
      <c r="AZ203" t="s">
        <v>74</v>
      </c>
      <c r="BA203" t="s">
        <v>74</v>
      </c>
      <c r="BB203">
        <v>3609</v>
      </c>
      <c r="BC203">
        <v>3612</v>
      </c>
      <c r="BD203" t="s">
        <v>74</v>
      </c>
      <c r="BE203" t="s">
        <v>3050</v>
      </c>
      <c r="BF203" t="str">
        <f>HYPERLINK("http://dx.doi.org/10.1029/2001GL012969","http://dx.doi.org/10.1029/2001GL012969")</f>
        <v>http://dx.doi.org/10.1029/2001GL012969</v>
      </c>
      <c r="BG203" t="s">
        <v>74</v>
      </c>
      <c r="BH203" t="s">
        <v>74</v>
      </c>
      <c r="BI203">
        <v>4</v>
      </c>
      <c r="BJ203" t="s">
        <v>300</v>
      </c>
      <c r="BK203" t="s">
        <v>88</v>
      </c>
      <c r="BL203" t="s">
        <v>113</v>
      </c>
      <c r="BM203" t="s">
        <v>3042</v>
      </c>
      <c r="BN203" t="s">
        <v>74</v>
      </c>
      <c r="BO203" t="s">
        <v>171</v>
      </c>
      <c r="BP203" t="s">
        <v>74</v>
      </c>
      <c r="BQ203" t="s">
        <v>74</v>
      </c>
      <c r="BR203" t="s">
        <v>91</v>
      </c>
      <c r="BS203" t="s">
        <v>3051</v>
      </c>
      <c r="BT203" t="str">
        <f>HYPERLINK("https%3A%2F%2Fwww.webofscience.com%2Fwos%2Fwoscc%2Ffull-record%2FWOS:000171035000048","View Full Record in Web of Science")</f>
        <v>View Full Record in Web of Science</v>
      </c>
    </row>
    <row r="204" spans="1:72" x14ac:dyDescent="0.15">
      <c r="A204" t="s">
        <v>72</v>
      </c>
      <c r="B204" t="s">
        <v>3052</v>
      </c>
      <c r="C204" t="s">
        <v>74</v>
      </c>
      <c r="D204" t="s">
        <v>74</v>
      </c>
      <c r="E204" t="s">
        <v>74</v>
      </c>
      <c r="F204" t="s">
        <v>3052</v>
      </c>
      <c r="G204" t="s">
        <v>74</v>
      </c>
      <c r="H204" t="s">
        <v>74</v>
      </c>
      <c r="I204" t="s">
        <v>3053</v>
      </c>
      <c r="J204" t="s">
        <v>655</v>
      </c>
      <c r="K204" t="s">
        <v>74</v>
      </c>
      <c r="L204" t="s">
        <v>74</v>
      </c>
      <c r="M204" t="s">
        <v>77</v>
      </c>
      <c r="N204" t="s">
        <v>120</v>
      </c>
      <c r="O204" t="s">
        <v>74</v>
      </c>
      <c r="P204" t="s">
        <v>74</v>
      </c>
      <c r="Q204" t="s">
        <v>74</v>
      </c>
      <c r="R204" t="s">
        <v>74</v>
      </c>
      <c r="S204" t="s">
        <v>74</v>
      </c>
      <c r="T204" t="s">
        <v>74</v>
      </c>
      <c r="U204" t="s">
        <v>3054</v>
      </c>
      <c r="V204" t="s">
        <v>3055</v>
      </c>
      <c r="W204" t="s">
        <v>3056</v>
      </c>
      <c r="X204" t="s">
        <v>3057</v>
      </c>
      <c r="Y204" t="s">
        <v>3058</v>
      </c>
      <c r="Z204" t="s">
        <v>3059</v>
      </c>
      <c r="AA204" t="s">
        <v>3060</v>
      </c>
      <c r="AB204" t="s">
        <v>3061</v>
      </c>
      <c r="AC204" t="s">
        <v>74</v>
      </c>
      <c r="AD204" t="s">
        <v>74</v>
      </c>
      <c r="AE204" t="s">
        <v>74</v>
      </c>
      <c r="AF204" t="s">
        <v>74</v>
      </c>
      <c r="AG204">
        <v>37</v>
      </c>
      <c r="AH204">
        <v>57</v>
      </c>
      <c r="AI204">
        <v>59</v>
      </c>
      <c r="AJ204">
        <v>2</v>
      </c>
      <c r="AK204">
        <v>8</v>
      </c>
      <c r="AL204" t="s">
        <v>149</v>
      </c>
      <c r="AM204" t="s">
        <v>150</v>
      </c>
      <c r="AN204" t="s">
        <v>151</v>
      </c>
      <c r="AO204" t="s">
        <v>662</v>
      </c>
      <c r="AP204" t="s">
        <v>663</v>
      </c>
      <c r="AQ204" t="s">
        <v>74</v>
      </c>
      <c r="AR204" t="s">
        <v>664</v>
      </c>
      <c r="AS204" t="s">
        <v>665</v>
      </c>
      <c r="AT204" t="s">
        <v>3027</v>
      </c>
      <c r="AU204">
        <v>2001</v>
      </c>
      <c r="AV204">
        <v>106</v>
      </c>
      <c r="AW204" t="s">
        <v>3062</v>
      </c>
      <c r="AX204" t="s">
        <v>74</v>
      </c>
      <c r="AY204" t="s">
        <v>74</v>
      </c>
      <c r="AZ204" t="s">
        <v>74</v>
      </c>
      <c r="BA204" t="s">
        <v>74</v>
      </c>
      <c r="BB204">
        <v>19581</v>
      </c>
      <c r="BC204">
        <v>19595</v>
      </c>
      <c r="BD204" t="s">
        <v>74</v>
      </c>
      <c r="BE204" t="s">
        <v>3063</v>
      </c>
      <c r="BF204" t="str">
        <f>HYPERLINK("http://dx.doi.org/10.1029/2000JC000669","http://dx.doi.org/10.1029/2000JC000669")</f>
        <v>http://dx.doi.org/10.1029/2000JC000669</v>
      </c>
      <c r="BG204" t="s">
        <v>74</v>
      </c>
      <c r="BH204" t="s">
        <v>74</v>
      </c>
      <c r="BI204">
        <v>15</v>
      </c>
      <c r="BJ204" t="s">
        <v>668</v>
      </c>
      <c r="BK204" t="s">
        <v>88</v>
      </c>
      <c r="BL204" t="s">
        <v>668</v>
      </c>
      <c r="BM204" t="s">
        <v>3064</v>
      </c>
      <c r="BN204" t="s">
        <v>74</v>
      </c>
      <c r="BO204" t="s">
        <v>171</v>
      </c>
      <c r="BP204" t="s">
        <v>74</v>
      </c>
      <c r="BQ204" t="s">
        <v>74</v>
      </c>
      <c r="BR204" t="s">
        <v>91</v>
      </c>
      <c r="BS204" t="s">
        <v>3065</v>
      </c>
      <c r="BT204" t="str">
        <f>HYPERLINK("https%3A%2F%2Fwww.webofscience.com%2Fwos%2Fwoscc%2Ffull-record%2FWOS:000170956800006","View Full Record in Web of Science")</f>
        <v>View Full Record in Web of Science</v>
      </c>
    </row>
    <row r="205" spans="1:72" x14ac:dyDescent="0.15">
      <c r="A205" t="s">
        <v>72</v>
      </c>
      <c r="B205" t="s">
        <v>3066</v>
      </c>
      <c r="C205" t="s">
        <v>74</v>
      </c>
      <c r="D205" t="s">
        <v>74</v>
      </c>
      <c r="E205" t="s">
        <v>74</v>
      </c>
      <c r="F205" t="s">
        <v>3066</v>
      </c>
      <c r="G205" t="s">
        <v>74</v>
      </c>
      <c r="H205" t="s">
        <v>74</v>
      </c>
      <c r="I205" t="s">
        <v>3067</v>
      </c>
      <c r="J205" t="s">
        <v>655</v>
      </c>
      <c r="K205" t="s">
        <v>74</v>
      </c>
      <c r="L205" t="s">
        <v>74</v>
      </c>
      <c r="M205" t="s">
        <v>77</v>
      </c>
      <c r="N205" t="s">
        <v>120</v>
      </c>
      <c r="O205" t="s">
        <v>74</v>
      </c>
      <c r="P205" t="s">
        <v>74</v>
      </c>
      <c r="Q205" t="s">
        <v>74</v>
      </c>
      <c r="R205" t="s">
        <v>74</v>
      </c>
      <c r="S205" t="s">
        <v>74</v>
      </c>
      <c r="T205" t="s">
        <v>74</v>
      </c>
      <c r="U205" t="s">
        <v>3068</v>
      </c>
      <c r="V205" t="s">
        <v>3069</v>
      </c>
      <c r="W205" t="s">
        <v>3070</v>
      </c>
      <c r="X205" t="s">
        <v>3071</v>
      </c>
      <c r="Y205" t="s">
        <v>3072</v>
      </c>
      <c r="Z205" t="s">
        <v>3073</v>
      </c>
      <c r="AA205" t="s">
        <v>74</v>
      </c>
      <c r="AB205" t="s">
        <v>3074</v>
      </c>
      <c r="AC205" t="s">
        <v>74</v>
      </c>
      <c r="AD205" t="s">
        <v>74</v>
      </c>
      <c r="AE205" t="s">
        <v>74</v>
      </c>
      <c r="AF205" t="s">
        <v>74</v>
      </c>
      <c r="AG205">
        <v>29</v>
      </c>
      <c r="AH205">
        <v>17</v>
      </c>
      <c r="AI205">
        <v>17</v>
      </c>
      <c r="AJ205">
        <v>0</v>
      </c>
      <c r="AK205">
        <v>4</v>
      </c>
      <c r="AL205" t="s">
        <v>149</v>
      </c>
      <c r="AM205" t="s">
        <v>150</v>
      </c>
      <c r="AN205" t="s">
        <v>151</v>
      </c>
      <c r="AO205" t="s">
        <v>662</v>
      </c>
      <c r="AP205" t="s">
        <v>663</v>
      </c>
      <c r="AQ205" t="s">
        <v>74</v>
      </c>
      <c r="AR205" t="s">
        <v>664</v>
      </c>
      <c r="AS205" t="s">
        <v>665</v>
      </c>
      <c r="AT205" t="s">
        <v>3027</v>
      </c>
      <c r="AU205">
        <v>2001</v>
      </c>
      <c r="AV205">
        <v>106</v>
      </c>
      <c r="AW205" t="s">
        <v>3062</v>
      </c>
      <c r="AX205" t="s">
        <v>74</v>
      </c>
      <c r="AY205" t="s">
        <v>74</v>
      </c>
      <c r="AZ205" t="s">
        <v>74</v>
      </c>
      <c r="BA205" t="s">
        <v>74</v>
      </c>
      <c r="BB205">
        <v>19869</v>
      </c>
      <c r="BC205">
        <v>19882</v>
      </c>
      <c r="BD205" t="s">
        <v>74</v>
      </c>
      <c r="BE205" t="s">
        <v>3075</v>
      </c>
      <c r="BF205" t="str">
        <f>HYPERLINK("http://dx.doi.org/10.1029/2000JC000293","http://dx.doi.org/10.1029/2000JC000293")</f>
        <v>http://dx.doi.org/10.1029/2000JC000293</v>
      </c>
      <c r="BG205" t="s">
        <v>74</v>
      </c>
      <c r="BH205" t="s">
        <v>74</v>
      </c>
      <c r="BI205">
        <v>14</v>
      </c>
      <c r="BJ205" t="s">
        <v>668</v>
      </c>
      <c r="BK205" t="s">
        <v>88</v>
      </c>
      <c r="BL205" t="s">
        <v>668</v>
      </c>
      <c r="BM205" t="s">
        <v>3064</v>
      </c>
      <c r="BN205" t="s">
        <v>74</v>
      </c>
      <c r="BO205" t="s">
        <v>563</v>
      </c>
      <c r="BP205" t="s">
        <v>74</v>
      </c>
      <c r="BQ205" t="s">
        <v>74</v>
      </c>
      <c r="BR205" t="s">
        <v>91</v>
      </c>
      <c r="BS205" t="s">
        <v>3076</v>
      </c>
      <c r="BT205" t="str">
        <f>HYPERLINK("https%3A%2F%2Fwww.webofscience.com%2Fwos%2Fwoscc%2Ffull-record%2FWOS:000170956800023","View Full Record in Web of Science")</f>
        <v>View Full Record in Web of Science</v>
      </c>
    </row>
    <row r="206" spans="1:72" x14ac:dyDescent="0.15">
      <c r="A206" t="s">
        <v>72</v>
      </c>
      <c r="B206" t="s">
        <v>3077</v>
      </c>
      <c r="C206" t="s">
        <v>74</v>
      </c>
      <c r="D206" t="s">
        <v>74</v>
      </c>
      <c r="E206" t="s">
        <v>74</v>
      </c>
      <c r="F206" t="s">
        <v>3077</v>
      </c>
      <c r="G206" t="s">
        <v>74</v>
      </c>
      <c r="H206" t="s">
        <v>74</v>
      </c>
      <c r="I206" t="s">
        <v>3078</v>
      </c>
      <c r="J206" t="s">
        <v>655</v>
      </c>
      <c r="K206" t="s">
        <v>74</v>
      </c>
      <c r="L206" t="s">
        <v>74</v>
      </c>
      <c r="M206" t="s">
        <v>77</v>
      </c>
      <c r="N206" t="s">
        <v>120</v>
      </c>
      <c r="O206" t="s">
        <v>74</v>
      </c>
      <c r="P206" t="s">
        <v>74</v>
      </c>
      <c r="Q206" t="s">
        <v>74</v>
      </c>
      <c r="R206" t="s">
        <v>74</v>
      </c>
      <c r="S206" t="s">
        <v>74</v>
      </c>
      <c r="T206" t="s">
        <v>74</v>
      </c>
      <c r="U206" t="s">
        <v>3079</v>
      </c>
      <c r="V206" t="s">
        <v>3080</v>
      </c>
      <c r="W206" t="s">
        <v>3081</v>
      </c>
      <c r="X206" t="s">
        <v>3082</v>
      </c>
      <c r="Y206" t="s">
        <v>3083</v>
      </c>
      <c r="Z206" t="s">
        <v>74</v>
      </c>
      <c r="AA206" t="s">
        <v>3084</v>
      </c>
      <c r="AB206" t="s">
        <v>3085</v>
      </c>
      <c r="AC206" t="s">
        <v>74</v>
      </c>
      <c r="AD206" t="s">
        <v>74</v>
      </c>
      <c r="AE206" t="s">
        <v>74</v>
      </c>
      <c r="AF206" t="s">
        <v>74</v>
      </c>
      <c r="AG206">
        <v>43</v>
      </c>
      <c r="AH206">
        <v>153</v>
      </c>
      <c r="AI206">
        <v>169</v>
      </c>
      <c r="AJ206">
        <v>1</v>
      </c>
      <c r="AK206">
        <v>26</v>
      </c>
      <c r="AL206" t="s">
        <v>149</v>
      </c>
      <c r="AM206" t="s">
        <v>150</v>
      </c>
      <c r="AN206" t="s">
        <v>151</v>
      </c>
      <c r="AO206" t="s">
        <v>662</v>
      </c>
      <c r="AP206" t="s">
        <v>663</v>
      </c>
      <c r="AQ206" t="s">
        <v>74</v>
      </c>
      <c r="AR206" t="s">
        <v>664</v>
      </c>
      <c r="AS206" t="s">
        <v>665</v>
      </c>
      <c r="AT206" t="s">
        <v>3027</v>
      </c>
      <c r="AU206">
        <v>2001</v>
      </c>
      <c r="AV206">
        <v>106</v>
      </c>
      <c r="AW206" t="s">
        <v>3062</v>
      </c>
      <c r="AX206" t="s">
        <v>74</v>
      </c>
      <c r="AY206" t="s">
        <v>74</v>
      </c>
      <c r="AZ206" t="s">
        <v>74</v>
      </c>
      <c r="BA206" t="s">
        <v>74</v>
      </c>
      <c r="BB206">
        <v>19903</v>
      </c>
      <c r="BC206">
        <v>19915</v>
      </c>
      <c r="BD206" t="s">
        <v>74</v>
      </c>
      <c r="BE206" t="s">
        <v>3086</v>
      </c>
      <c r="BF206" t="str">
        <f>HYPERLINK("http://dx.doi.org/10.1029/2000JC000347","http://dx.doi.org/10.1029/2000JC000347")</f>
        <v>http://dx.doi.org/10.1029/2000JC000347</v>
      </c>
      <c r="BG206" t="s">
        <v>74</v>
      </c>
      <c r="BH206" t="s">
        <v>74</v>
      </c>
      <c r="BI206">
        <v>13</v>
      </c>
      <c r="BJ206" t="s">
        <v>668</v>
      </c>
      <c r="BK206" t="s">
        <v>88</v>
      </c>
      <c r="BL206" t="s">
        <v>668</v>
      </c>
      <c r="BM206" t="s">
        <v>3064</v>
      </c>
      <c r="BN206" t="s">
        <v>74</v>
      </c>
      <c r="BO206" t="s">
        <v>171</v>
      </c>
      <c r="BP206" t="s">
        <v>74</v>
      </c>
      <c r="BQ206" t="s">
        <v>74</v>
      </c>
      <c r="BR206" t="s">
        <v>91</v>
      </c>
      <c r="BS206" t="s">
        <v>3087</v>
      </c>
      <c r="BT206" t="str">
        <f>HYPERLINK("https%3A%2F%2Fwww.webofscience.com%2Fwos%2Fwoscc%2Ffull-record%2FWOS:000170956800025","View Full Record in Web of Science")</f>
        <v>View Full Record in Web of Science</v>
      </c>
    </row>
    <row r="207" spans="1:72" x14ac:dyDescent="0.15">
      <c r="A207" t="s">
        <v>72</v>
      </c>
      <c r="B207" t="s">
        <v>3088</v>
      </c>
      <c r="C207" t="s">
        <v>74</v>
      </c>
      <c r="D207" t="s">
        <v>74</v>
      </c>
      <c r="E207" t="s">
        <v>74</v>
      </c>
      <c r="F207" t="s">
        <v>3088</v>
      </c>
      <c r="G207" t="s">
        <v>74</v>
      </c>
      <c r="H207" t="s">
        <v>74</v>
      </c>
      <c r="I207" t="s">
        <v>3089</v>
      </c>
      <c r="J207" t="s">
        <v>3090</v>
      </c>
      <c r="K207" t="s">
        <v>74</v>
      </c>
      <c r="L207" t="s">
        <v>74</v>
      </c>
      <c r="M207" t="s">
        <v>77</v>
      </c>
      <c r="N207" t="s">
        <v>3091</v>
      </c>
      <c r="O207" t="s">
        <v>74</v>
      </c>
      <c r="P207" t="s">
        <v>74</v>
      </c>
      <c r="Q207" t="s">
        <v>74</v>
      </c>
      <c r="R207" t="s">
        <v>74</v>
      </c>
      <c r="S207" t="s">
        <v>74</v>
      </c>
      <c r="T207" t="s">
        <v>3092</v>
      </c>
      <c r="U207" t="s">
        <v>3093</v>
      </c>
      <c r="V207" t="s">
        <v>3094</v>
      </c>
      <c r="W207" t="s">
        <v>3095</v>
      </c>
      <c r="X207" t="s">
        <v>3096</v>
      </c>
      <c r="Y207" t="s">
        <v>3097</v>
      </c>
      <c r="Z207" t="s">
        <v>3098</v>
      </c>
      <c r="AA207" t="s">
        <v>3099</v>
      </c>
      <c r="AB207" t="s">
        <v>3100</v>
      </c>
      <c r="AC207" t="s">
        <v>74</v>
      </c>
      <c r="AD207" t="s">
        <v>74</v>
      </c>
      <c r="AE207" t="s">
        <v>74</v>
      </c>
      <c r="AF207" t="s">
        <v>74</v>
      </c>
      <c r="AG207">
        <v>21</v>
      </c>
      <c r="AH207">
        <v>48</v>
      </c>
      <c r="AI207">
        <v>51</v>
      </c>
      <c r="AJ207">
        <v>0</v>
      </c>
      <c r="AK207">
        <v>6</v>
      </c>
      <c r="AL207" t="s">
        <v>349</v>
      </c>
      <c r="AM207" t="s">
        <v>350</v>
      </c>
      <c r="AN207" t="s">
        <v>351</v>
      </c>
      <c r="AO207" t="s">
        <v>3101</v>
      </c>
      <c r="AP207" t="s">
        <v>3102</v>
      </c>
      <c r="AQ207" t="s">
        <v>74</v>
      </c>
      <c r="AR207" t="s">
        <v>3103</v>
      </c>
      <c r="AS207" t="s">
        <v>3104</v>
      </c>
      <c r="AT207" t="s">
        <v>3027</v>
      </c>
      <c r="AU207">
        <v>2001</v>
      </c>
      <c r="AV207">
        <v>179</v>
      </c>
      <c r="AW207" t="s">
        <v>495</v>
      </c>
      <c r="AX207" t="s">
        <v>74</v>
      </c>
      <c r="AY207" t="s">
        <v>74</v>
      </c>
      <c r="AZ207" t="s">
        <v>74</v>
      </c>
      <c r="BA207" t="s">
        <v>74</v>
      </c>
      <c r="BB207">
        <v>1</v>
      </c>
      <c r="BC207">
        <v>8</v>
      </c>
      <c r="BD207" t="s">
        <v>74</v>
      </c>
      <c r="BE207" t="s">
        <v>3105</v>
      </c>
      <c r="BF207" t="str">
        <f>HYPERLINK("http://dx.doi.org/10.1016/S0025-3227(01)00183-9","http://dx.doi.org/10.1016/S0025-3227(01)00183-9")</f>
        <v>http://dx.doi.org/10.1016/S0025-3227(01)00183-9</v>
      </c>
      <c r="BG207" t="s">
        <v>74</v>
      </c>
      <c r="BH207" t="s">
        <v>74</v>
      </c>
      <c r="BI207">
        <v>8</v>
      </c>
      <c r="BJ207" t="s">
        <v>3106</v>
      </c>
      <c r="BK207" t="s">
        <v>88</v>
      </c>
      <c r="BL207" t="s">
        <v>3107</v>
      </c>
      <c r="BM207" t="s">
        <v>3108</v>
      </c>
      <c r="BN207" t="s">
        <v>74</v>
      </c>
      <c r="BO207" t="s">
        <v>74</v>
      </c>
      <c r="BP207" t="s">
        <v>74</v>
      </c>
      <c r="BQ207" t="s">
        <v>74</v>
      </c>
      <c r="BR207" t="s">
        <v>91</v>
      </c>
      <c r="BS207" t="s">
        <v>3109</v>
      </c>
      <c r="BT207" t="str">
        <f>HYPERLINK("https%3A%2F%2Fwww.webofscience.com%2Fwos%2Fwoscc%2Ffull-record%2FWOS:000171111800001","View Full Record in Web of Science")</f>
        <v>View Full Record in Web of Science</v>
      </c>
    </row>
    <row r="208" spans="1:72" x14ac:dyDescent="0.15">
      <c r="A208" t="s">
        <v>72</v>
      </c>
      <c r="B208" t="s">
        <v>3110</v>
      </c>
      <c r="C208" t="s">
        <v>74</v>
      </c>
      <c r="D208" t="s">
        <v>74</v>
      </c>
      <c r="E208" t="s">
        <v>74</v>
      </c>
      <c r="F208" t="s">
        <v>3110</v>
      </c>
      <c r="G208" t="s">
        <v>74</v>
      </c>
      <c r="H208" t="s">
        <v>74</v>
      </c>
      <c r="I208" t="s">
        <v>3111</v>
      </c>
      <c r="J208" t="s">
        <v>1867</v>
      </c>
      <c r="K208" t="s">
        <v>74</v>
      </c>
      <c r="L208" t="s">
        <v>74</v>
      </c>
      <c r="M208" t="s">
        <v>77</v>
      </c>
      <c r="N208" t="s">
        <v>120</v>
      </c>
      <c r="O208" t="s">
        <v>74</v>
      </c>
      <c r="P208" t="s">
        <v>74</v>
      </c>
      <c r="Q208" t="s">
        <v>74</v>
      </c>
      <c r="R208" t="s">
        <v>74</v>
      </c>
      <c r="S208" t="s">
        <v>74</v>
      </c>
      <c r="T208" t="s">
        <v>74</v>
      </c>
      <c r="U208" t="s">
        <v>3112</v>
      </c>
      <c r="V208" t="s">
        <v>3113</v>
      </c>
      <c r="W208" t="s">
        <v>3114</v>
      </c>
      <c r="X208" t="s">
        <v>3115</v>
      </c>
      <c r="Y208" t="s">
        <v>3116</v>
      </c>
      <c r="Z208" t="s">
        <v>74</v>
      </c>
      <c r="AA208" t="s">
        <v>3117</v>
      </c>
      <c r="AB208" t="s">
        <v>3118</v>
      </c>
      <c r="AC208" t="s">
        <v>74</v>
      </c>
      <c r="AD208" t="s">
        <v>74</v>
      </c>
      <c r="AE208" t="s">
        <v>74</v>
      </c>
      <c r="AF208" t="s">
        <v>74</v>
      </c>
      <c r="AG208">
        <v>34</v>
      </c>
      <c r="AH208">
        <v>177</v>
      </c>
      <c r="AI208">
        <v>191</v>
      </c>
      <c r="AJ208">
        <v>3</v>
      </c>
      <c r="AK208">
        <v>46</v>
      </c>
      <c r="AL208" t="s">
        <v>1872</v>
      </c>
      <c r="AM208" t="s">
        <v>150</v>
      </c>
      <c r="AN208" t="s">
        <v>1873</v>
      </c>
      <c r="AO208" t="s">
        <v>1874</v>
      </c>
      <c r="AP208" t="s">
        <v>74</v>
      </c>
      <c r="AQ208" t="s">
        <v>74</v>
      </c>
      <c r="AR208" t="s">
        <v>1867</v>
      </c>
      <c r="AS208" t="s">
        <v>1875</v>
      </c>
      <c r="AT208" t="s">
        <v>3119</v>
      </c>
      <c r="AU208">
        <v>2001</v>
      </c>
      <c r="AV208">
        <v>293</v>
      </c>
      <c r="AW208">
        <v>5537</v>
      </c>
      <c r="AX208" t="s">
        <v>74</v>
      </c>
      <c r="AY208" t="s">
        <v>74</v>
      </c>
      <c r="AZ208" t="s">
        <v>74</v>
      </c>
      <c r="BA208" t="s">
        <v>74</v>
      </c>
      <c r="BB208">
        <v>2074</v>
      </c>
      <c r="BC208">
        <v>2077</v>
      </c>
      <c r="BD208" t="s">
        <v>74</v>
      </c>
      <c r="BE208" t="s">
        <v>3120</v>
      </c>
      <c r="BF208" t="str">
        <f>HYPERLINK("http://dx.doi.org/10.1126/science.1059702","http://dx.doi.org/10.1126/science.1059702")</f>
        <v>http://dx.doi.org/10.1126/science.1059702</v>
      </c>
      <c r="BG208" t="s">
        <v>74</v>
      </c>
      <c r="BH208" t="s">
        <v>74</v>
      </c>
      <c r="BI208">
        <v>4</v>
      </c>
      <c r="BJ208" t="s">
        <v>575</v>
      </c>
      <c r="BK208" t="s">
        <v>88</v>
      </c>
      <c r="BL208" t="s">
        <v>576</v>
      </c>
      <c r="BM208" t="s">
        <v>3121</v>
      </c>
      <c r="BN208">
        <v>11557889</v>
      </c>
      <c r="BO208" t="s">
        <v>74</v>
      </c>
      <c r="BP208" t="s">
        <v>74</v>
      </c>
      <c r="BQ208" t="s">
        <v>74</v>
      </c>
      <c r="BR208" t="s">
        <v>91</v>
      </c>
      <c r="BS208" t="s">
        <v>3122</v>
      </c>
      <c r="BT208" t="str">
        <f>HYPERLINK("https%3A%2F%2Fwww.webofscience.com%2Fwos%2Fwoscc%2Ffull-record%2FWOS:000171028700070","View Full Record in Web of Science")</f>
        <v>View Full Record in Web of Science</v>
      </c>
    </row>
    <row r="209" spans="1:72" x14ac:dyDescent="0.15">
      <c r="A209" t="s">
        <v>72</v>
      </c>
      <c r="B209" t="s">
        <v>3123</v>
      </c>
      <c r="C209" t="s">
        <v>74</v>
      </c>
      <c r="D209" t="s">
        <v>74</v>
      </c>
      <c r="E209" t="s">
        <v>74</v>
      </c>
      <c r="F209" t="s">
        <v>3123</v>
      </c>
      <c r="G209" t="s">
        <v>74</v>
      </c>
      <c r="H209" t="s">
        <v>74</v>
      </c>
      <c r="I209" t="s">
        <v>3124</v>
      </c>
      <c r="J209" t="s">
        <v>1867</v>
      </c>
      <c r="K209" t="s">
        <v>74</v>
      </c>
      <c r="L209" t="s">
        <v>74</v>
      </c>
      <c r="M209" t="s">
        <v>77</v>
      </c>
      <c r="N209" t="s">
        <v>120</v>
      </c>
      <c r="O209" t="s">
        <v>74</v>
      </c>
      <c r="P209" t="s">
        <v>74</v>
      </c>
      <c r="Q209" t="s">
        <v>74</v>
      </c>
      <c r="R209" t="s">
        <v>74</v>
      </c>
      <c r="S209" t="s">
        <v>74</v>
      </c>
      <c r="T209" t="s">
        <v>74</v>
      </c>
      <c r="U209" t="s">
        <v>3125</v>
      </c>
      <c r="V209" t="s">
        <v>3126</v>
      </c>
      <c r="W209" t="s">
        <v>3127</v>
      </c>
      <c r="X209" t="s">
        <v>3128</v>
      </c>
      <c r="Y209" t="s">
        <v>3129</v>
      </c>
      <c r="Z209" t="s">
        <v>74</v>
      </c>
      <c r="AA209" t="s">
        <v>74</v>
      </c>
      <c r="AB209" t="s">
        <v>3130</v>
      </c>
      <c r="AC209" t="s">
        <v>74</v>
      </c>
      <c r="AD209" t="s">
        <v>74</v>
      </c>
      <c r="AE209" t="s">
        <v>74</v>
      </c>
      <c r="AF209" t="s">
        <v>74</v>
      </c>
      <c r="AG209">
        <v>40</v>
      </c>
      <c r="AH209">
        <v>62</v>
      </c>
      <c r="AI209">
        <v>70</v>
      </c>
      <c r="AJ209">
        <v>2</v>
      </c>
      <c r="AK209">
        <v>19</v>
      </c>
      <c r="AL209" t="s">
        <v>1872</v>
      </c>
      <c r="AM209" t="s">
        <v>150</v>
      </c>
      <c r="AN209" t="s">
        <v>1873</v>
      </c>
      <c r="AO209" t="s">
        <v>1874</v>
      </c>
      <c r="AP209" t="s">
        <v>74</v>
      </c>
      <c r="AQ209" t="s">
        <v>74</v>
      </c>
      <c r="AR209" t="s">
        <v>1867</v>
      </c>
      <c r="AS209" t="s">
        <v>1875</v>
      </c>
      <c r="AT209" t="s">
        <v>3119</v>
      </c>
      <c r="AU209">
        <v>2001</v>
      </c>
      <c r="AV209">
        <v>293</v>
      </c>
      <c r="AW209">
        <v>5537</v>
      </c>
      <c r="AX209" t="s">
        <v>74</v>
      </c>
      <c r="AY209" t="s">
        <v>74</v>
      </c>
      <c r="AZ209" t="s">
        <v>74</v>
      </c>
      <c r="BA209" t="s">
        <v>74</v>
      </c>
      <c r="BB209">
        <v>2077</v>
      </c>
      <c r="BC209">
        <v>2079</v>
      </c>
      <c r="BD209" t="s">
        <v>74</v>
      </c>
      <c r="BE209" t="s">
        <v>3131</v>
      </c>
      <c r="BF209" t="str">
        <f>HYPERLINK("http://dx.doi.org/10.1126/science.1063584","http://dx.doi.org/10.1126/science.1063584")</f>
        <v>http://dx.doi.org/10.1126/science.1063584</v>
      </c>
      <c r="BG209" t="s">
        <v>74</v>
      </c>
      <c r="BH209" t="s">
        <v>74</v>
      </c>
      <c r="BI209">
        <v>3</v>
      </c>
      <c r="BJ209" t="s">
        <v>575</v>
      </c>
      <c r="BK209" t="s">
        <v>88</v>
      </c>
      <c r="BL209" t="s">
        <v>576</v>
      </c>
      <c r="BM209" t="s">
        <v>3121</v>
      </c>
      <c r="BN209">
        <v>11557890</v>
      </c>
      <c r="BO209" t="s">
        <v>74</v>
      </c>
      <c r="BP209" t="s">
        <v>74</v>
      </c>
      <c r="BQ209" t="s">
        <v>74</v>
      </c>
      <c r="BR209" t="s">
        <v>91</v>
      </c>
      <c r="BS209" t="s">
        <v>3132</v>
      </c>
      <c r="BT209" t="str">
        <f>HYPERLINK("https%3A%2F%2Fwww.webofscience.com%2Fwos%2Fwoscc%2Ffull-record%2FWOS:000171028700071","View Full Record in Web of Science")</f>
        <v>View Full Record in Web of Science</v>
      </c>
    </row>
    <row r="210" spans="1:72" x14ac:dyDescent="0.15">
      <c r="A210" t="s">
        <v>72</v>
      </c>
      <c r="B210" t="s">
        <v>3133</v>
      </c>
      <c r="C210" t="s">
        <v>74</v>
      </c>
      <c r="D210" t="s">
        <v>74</v>
      </c>
      <c r="E210" t="s">
        <v>74</v>
      </c>
      <c r="F210" t="s">
        <v>3133</v>
      </c>
      <c r="G210" t="s">
        <v>74</v>
      </c>
      <c r="H210" t="s">
        <v>74</v>
      </c>
      <c r="I210" t="s">
        <v>3134</v>
      </c>
      <c r="J210" t="s">
        <v>3135</v>
      </c>
      <c r="K210" t="s">
        <v>74</v>
      </c>
      <c r="L210" t="s">
        <v>74</v>
      </c>
      <c r="M210" t="s">
        <v>77</v>
      </c>
      <c r="N210" t="s">
        <v>120</v>
      </c>
      <c r="O210" t="s">
        <v>74</v>
      </c>
      <c r="P210" t="s">
        <v>74</v>
      </c>
      <c r="Q210" t="s">
        <v>74</v>
      </c>
      <c r="R210" t="s">
        <v>74</v>
      </c>
      <c r="S210" t="s">
        <v>74</v>
      </c>
      <c r="T210" t="s">
        <v>3136</v>
      </c>
      <c r="U210" t="s">
        <v>3137</v>
      </c>
      <c r="V210" t="s">
        <v>3138</v>
      </c>
      <c r="W210" t="s">
        <v>3139</v>
      </c>
      <c r="X210" t="s">
        <v>3140</v>
      </c>
      <c r="Y210" t="s">
        <v>3141</v>
      </c>
      <c r="Z210" t="s">
        <v>3142</v>
      </c>
      <c r="AA210" t="s">
        <v>3143</v>
      </c>
      <c r="AB210" t="s">
        <v>3144</v>
      </c>
      <c r="AC210" t="s">
        <v>74</v>
      </c>
      <c r="AD210" t="s">
        <v>74</v>
      </c>
      <c r="AE210" t="s">
        <v>74</v>
      </c>
      <c r="AF210" t="s">
        <v>74</v>
      </c>
      <c r="AG210">
        <v>47</v>
      </c>
      <c r="AH210">
        <v>21</v>
      </c>
      <c r="AI210">
        <v>23</v>
      </c>
      <c r="AJ210">
        <v>0</v>
      </c>
      <c r="AK210">
        <v>1</v>
      </c>
      <c r="AL210" t="s">
        <v>488</v>
      </c>
      <c r="AM210" t="s">
        <v>350</v>
      </c>
      <c r="AN210" t="s">
        <v>489</v>
      </c>
      <c r="AO210" t="s">
        <v>3145</v>
      </c>
      <c r="AP210" t="s">
        <v>74</v>
      </c>
      <c r="AQ210" t="s">
        <v>74</v>
      </c>
      <c r="AR210" t="s">
        <v>3146</v>
      </c>
      <c r="AS210" t="s">
        <v>3147</v>
      </c>
      <c r="AT210" t="s">
        <v>3148</v>
      </c>
      <c r="AU210">
        <v>2001</v>
      </c>
      <c r="AV210">
        <v>1549</v>
      </c>
      <c r="AW210">
        <v>1</v>
      </c>
      <c r="AX210" t="s">
        <v>74</v>
      </c>
      <c r="AY210" t="s">
        <v>74</v>
      </c>
      <c r="AZ210" t="s">
        <v>74</v>
      </c>
      <c r="BA210" t="s">
        <v>74</v>
      </c>
      <c r="BB210">
        <v>99</v>
      </c>
      <c r="BC210">
        <v>111</v>
      </c>
      <c r="BD210" t="s">
        <v>74</v>
      </c>
      <c r="BE210" t="s">
        <v>3149</v>
      </c>
      <c r="BF210" t="str">
        <f>HYPERLINK("http://dx.doi.org/10.1016/S0167-4838(01)00247-3","http://dx.doi.org/10.1016/S0167-4838(01)00247-3")</f>
        <v>http://dx.doi.org/10.1016/S0167-4838(01)00247-3</v>
      </c>
      <c r="BG210" t="s">
        <v>74</v>
      </c>
      <c r="BH210" t="s">
        <v>74</v>
      </c>
      <c r="BI210">
        <v>13</v>
      </c>
      <c r="BJ210" t="s">
        <v>2728</v>
      </c>
      <c r="BK210" t="s">
        <v>88</v>
      </c>
      <c r="BL210" t="s">
        <v>2728</v>
      </c>
      <c r="BM210" t="s">
        <v>3150</v>
      </c>
      <c r="BN210">
        <v>11566372</v>
      </c>
      <c r="BO210" t="s">
        <v>74</v>
      </c>
      <c r="BP210" t="s">
        <v>74</v>
      </c>
      <c r="BQ210" t="s">
        <v>74</v>
      </c>
      <c r="BR210" t="s">
        <v>91</v>
      </c>
      <c r="BS210" t="s">
        <v>3151</v>
      </c>
      <c r="BT210" t="str">
        <f>HYPERLINK("https%3A%2F%2Fwww.webofscience.com%2Fwos%2Fwoscc%2Ffull-record%2FWOS:000171118000010","View Full Record in Web of Science")</f>
        <v>View Full Record in Web of Science</v>
      </c>
    </row>
    <row r="211" spans="1:72" x14ac:dyDescent="0.15">
      <c r="A211" t="s">
        <v>72</v>
      </c>
      <c r="B211" t="s">
        <v>3152</v>
      </c>
      <c r="C211" t="s">
        <v>74</v>
      </c>
      <c r="D211" t="s">
        <v>74</v>
      </c>
      <c r="E211" t="s">
        <v>74</v>
      </c>
      <c r="F211" t="s">
        <v>3152</v>
      </c>
      <c r="G211" t="s">
        <v>74</v>
      </c>
      <c r="H211" t="s">
        <v>74</v>
      </c>
      <c r="I211" t="s">
        <v>3153</v>
      </c>
      <c r="J211" t="s">
        <v>2045</v>
      </c>
      <c r="K211" t="s">
        <v>74</v>
      </c>
      <c r="L211" t="s">
        <v>74</v>
      </c>
      <c r="M211" t="s">
        <v>77</v>
      </c>
      <c r="N211" t="s">
        <v>120</v>
      </c>
      <c r="O211" t="s">
        <v>74</v>
      </c>
      <c r="P211" t="s">
        <v>74</v>
      </c>
      <c r="Q211" t="s">
        <v>74</v>
      </c>
      <c r="R211" t="s">
        <v>74</v>
      </c>
      <c r="S211" t="s">
        <v>74</v>
      </c>
      <c r="T211" t="s">
        <v>3154</v>
      </c>
      <c r="U211" t="s">
        <v>3155</v>
      </c>
      <c r="V211" t="s">
        <v>3156</v>
      </c>
      <c r="W211" t="s">
        <v>3157</v>
      </c>
      <c r="X211" t="s">
        <v>3158</v>
      </c>
      <c r="Y211" t="s">
        <v>3159</v>
      </c>
      <c r="Z211" t="s">
        <v>3160</v>
      </c>
      <c r="AA211" t="s">
        <v>3161</v>
      </c>
      <c r="AB211" t="s">
        <v>3162</v>
      </c>
      <c r="AC211" t="s">
        <v>74</v>
      </c>
      <c r="AD211" t="s">
        <v>74</v>
      </c>
      <c r="AE211" t="s">
        <v>74</v>
      </c>
      <c r="AF211" t="s">
        <v>74</v>
      </c>
      <c r="AG211">
        <v>12</v>
      </c>
      <c r="AH211">
        <v>93</v>
      </c>
      <c r="AI211">
        <v>111</v>
      </c>
      <c r="AJ211">
        <v>17</v>
      </c>
      <c r="AK211">
        <v>293</v>
      </c>
      <c r="AL211" t="s">
        <v>2054</v>
      </c>
      <c r="AM211" t="s">
        <v>683</v>
      </c>
      <c r="AN211" t="s">
        <v>2055</v>
      </c>
      <c r="AO211" t="s">
        <v>2056</v>
      </c>
      <c r="AP211" t="s">
        <v>74</v>
      </c>
      <c r="AQ211" t="s">
        <v>74</v>
      </c>
      <c r="AR211" t="s">
        <v>2058</v>
      </c>
      <c r="AS211" t="s">
        <v>2059</v>
      </c>
      <c r="AT211" t="s">
        <v>3163</v>
      </c>
      <c r="AU211">
        <v>2001</v>
      </c>
      <c r="AV211">
        <v>268</v>
      </c>
      <c r="AW211">
        <v>1478</v>
      </c>
      <c r="AX211" t="s">
        <v>74</v>
      </c>
      <c r="AY211" t="s">
        <v>74</v>
      </c>
      <c r="AZ211" t="s">
        <v>74</v>
      </c>
      <c r="BA211" t="s">
        <v>74</v>
      </c>
      <c r="BB211">
        <v>1755</v>
      </c>
      <c r="BC211">
        <v>1758</v>
      </c>
      <c r="BD211" t="s">
        <v>74</v>
      </c>
      <c r="BE211" t="s">
        <v>3164</v>
      </c>
      <c r="BF211" t="str">
        <f>HYPERLINK("http://dx.doi.org/10.1098/rspb.2001.1708","http://dx.doi.org/10.1098/rspb.2001.1708")</f>
        <v>http://dx.doi.org/10.1098/rspb.2001.1708</v>
      </c>
      <c r="BG211" t="s">
        <v>74</v>
      </c>
      <c r="BH211" t="s">
        <v>74</v>
      </c>
      <c r="BI211">
        <v>4</v>
      </c>
      <c r="BJ211" t="s">
        <v>2062</v>
      </c>
      <c r="BK211" t="s">
        <v>88</v>
      </c>
      <c r="BL211" t="s">
        <v>2063</v>
      </c>
      <c r="BM211" t="s">
        <v>3165</v>
      </c>
      <c r="BN211">
        <v>11522192</v>
      </c>
      <c r="BO211" t="s">
        <v>3166</v>
      </c>
      <c r="BP211" t="s">
        <v>74</v>
      </c>
      <c r="BQ211" t="s">
        <v>74</v>
      </c>
      <c r="BR211" t="s">
        <v>91</v>
      </c>
      <c r="BS211" t="s">
        <v>3167</v>
      </c>
      <c r="BT211" t="str">
        <f>HYPERLINK("https%3A%2F%2Fwww.webofscience.com%2Fwos%2Fwoscc%2Ffull-record%2FWOS:000170834600001","View Full Record in Web of Science")</f>
        <v>View Full Record in Web of Science</v>
      </c>
    </row>
    <row r="212" spans="1:72" x14ac:dyDescent="0.15">
      <c r="A212" t="s">
        <v>72</v>
      </c>
      <c r="B212" t="s">
        <v>3168</v>
      </c>
      <c r="C212" t="s">
        <v>74</v>
      </c>
      <c r="D212" t="s">
        <v>74</v>
      </c>
      <c r="E212" t="s">
        <v>74</v>
      </c>
      <c r="F212" t="s">
        <v>3168</v>
      </c>
      <c r="G212" t="s">
        <v>74</v>
      </c>
      <c r="H212" t="s">
        <v>74</v>
      </c>
      <c r="I212" t="s">
        <v>3169</v>
      </c>
      <c r="J212" t="s">
        <v>1867</v>
      </c>
      <c r="K212" t="s">
        <v>74</v>
      </c>
      <c r="L212" t="s">
        <v>74</v>
      </c>
      <c r="M212" t="s">
        <v>77</v>
      </c>
      <c r="N212" t="s">
        <v>414</v>
      </c>
      <c r="O212" t="s">
        <v>74</v>
      </c>
      <c r="P212" t="s">
        <v>74</v>
      </c>
      <c r="Q212" t="s">
        <v>74</v>
      </c>
      <c r="R212" t="s">
        <v>74</v>
      </c>
      <c r="S212" t="s">
        <v>74</v>
      </c>
      <c r="T212" t="s">
        <v>74</v>
      </c>
      <c r="U212" t="s">
        <v>3170</v>
      </c>
      <c r="V212" t="s">
        <v>74</v>
      </c>
      <c r="W212" t="s">
        <v>461</v>
      </c>
      <c r="X212" t="s">
        <v>462</v>
      </c>
      <c r="Y212" t="s">
        <v>3171</v>
      </c>
      <c r="Z212" t="s">
        <v>3172</v>
      </c>
      <c r="AA212" t="s">
        <v>3173</v>
      </c>
      <c r="AB212" t="s">
        <v>3174</v>
      </c>
      <c r="AC212" t="s">
        <v>74</v>
      </c>
      <c r="AD212" t="s">
        <v>74</v>
      </c>
      <c r="AE212" t="s">
        <v>74</v>
      </c>
      <c r="AF212" t="s">
        <v>74</v>
      </c>
      <c r="AG212">
        <v>22</v>
      </c>
      <c r="AH212">
        <v>228</v>
      </c>
      <c r="AI212">
        <v>246</v>
      </c>
      <c r="AJ212">
        <v>0</v>
      </c>
      <c r="AK212">
        <v>29</v>
      </c>
      <c r="AL212" t="s">
        <v>1872</v>
      </c>
      <c r="AM212" t="s">
        <v>150</v>
      </c>
      <c r="AN212" t="s">
        <v>1873</v>
      </c>
      <c r="AO212" t="s">
        <v>1874</v>
      </c>
      <c r="AP212" t="s">
        <v>3175</v>
      </c>
      <c r="AQ212" t="s">
        <v>74</v>
      </c>
      <c r="AR212" t="s">
        <v>1867</v>
      </c>
      <c r="AS212" t="s">
        <v>1875</v>
      </c>
      <c r="AT212" t="s">
        <v>3163</v>
      </c>
      <c r="AU212">
        <v>2001</v>
      </c>
      <c r="AV212">
        <v>293</v>
      </c>
      <c r="AW212">
        <v>5536</v>
      </c>
      <c r="AX212" t="s">
        <v>74</v>
      </c>
      <c r="AY212" t="s">
        <v>74</v>
      </c>
      <c r="AZ212" t="s">
        <v>74</v>
      </c>
      <c r="BA212" t="s">
        <v>74</v>
      </c>
      <c r="BB212">
        <v>1777</v>
      </c>
      <c r="BC212">
        <v>1779</v>
      </c>
      <c r="BD212" t="s">
        <v>74</v>
      </c>
      <c r="BE212" t="s">
        <v>3176</v>
      </c>
      <c r="BF212" t="str">
        <f>HYPERLINK("http://dx.doi.org/10.1126/science.1065116","http://dx.doi.org/10.1126/science.1065116")</f>
        <v>http://dx.doi.org/10.1126/science.1065116</v>
      </c>
      <c r="BG212" t="s">
        <v>74</v>
      </c>
      <c r="BH212" t="s">
        <v>74</v>
      </c>
      <c r="BI212">
        <v>3</v>
      </c>
      <c r="BJ212" t="s">
        <v>575</v>
      </c>
      <c r="BK212" t="s">
        <v>88</v>
      </c>
      <c r="BL212" t="s">
        <v>576</v>
      </c>
      <c r="BM212" t="s">
        <v>3177</v>
      </c>
      <c r="BN212">
        <v>11546858</v>
      </c>
      <c r="BO212" t="s">
        <v>74</v>
      </c>
      <c r="BP212" t="s">
        <v>74</v>
      </c>
      <c r="BQ212" t="s">
        <v>74</v>
      </c>
      <c r="BR212" t="s">
        <v>91</v>
      </c>
      <c r="BS212" t="s">
        <v>3178</v>
      </c>
      <c r="BT212" t="str">
        <f>HYPERLINK("https%3A%2F%2Fwww.webofscience.com%2Fwos%2Fwoscc%2Ffull-record%2FWOS:000170894400031","View Full Record in Web of Science")</f>
        <v>View Full Record in Web of Science</v>
      </c>
    </row>
    <row r="213" spans="1:72" x14ac:dyDescent="0.15">
      <c r="A213" t="s">
        <v>72</v>
      </c>
      <c r="B213" t="s">
        <v>3179</v>
      </c>
      <c r="C213" t="s">
        <v>74</v>
      </c>
      <c r="D213" t="s">
        <v>74</v>
      </c>
      <c r="E213" t="s">
        <v>74</v>
      </c>
      <c r="F213" t="s">
        <v>3179</v>
      </c>
      <c r="G213" t="s">
        <v>74</v>
      </c>
      <c r="H213" t="s">
        <v>74</v>
      </c>
      <c r="I213" t="s">
        <v>3180</v>
      </c>
      <c r="J213" t="s">
        <v>2922</v>
      </c>
      <c r="K213" t="s">
        <v>74</v>
      </c>
      <c r="L213" t="s">
        <v>74</v>
      </c>
      <c r="M213" t="s">
        <v>77</v>
      </c>
      <c r="N213" t="s">
        <v>96</v>
      </c>
      <c r="O213" t="s">
        <v>74</v>
      </c>
      <c r="P213" t="s">
        <v>74</v>
      </c>
      <c r="Q213" t="s">
        <v>74</v>
      </c>
      <c r="R213" t="s">
        <v>74</v>
      </c>
      <c r="S213" t="s">
        <v>74</v>
      </c>
      <c r="T213" t="s">
        <v>3181</v>
      </c>
      <c r="U213" t="s">
        <v>3182</v>
      </c>
      <c r="V213" t="s">
        <v>3183</v>
      </c>
      <c r="W213" t="s">
        <v>3184</v>
      </c>
      <c r="X213" t="s">
        <v>3185</v>
      </c>
      <c r="Y213" t="s">
        <v>3186</v>
      </c>
      <c r="Z213" t="s">
        <v>74</v>
      </c>
      <c r="AA213" t="s">
        <v>3187</v>
      </c>
      <c r="AB213" t="s">
        <v>74</v>
      </c>
      <c r="AC213" t="s">
        <v>74</v>
      </c>
      <c r="AD213" t="s">
        <v>74</v>
      </c>
      <c r="AE213" t="s">
        <v>74</v>
      </c>
      <c r="AF213" t="s">
        <v>74</v>
      </c>
      <c r="AG213">
        <v>113</v>
      </c>
      <c r="AH213">
        <v>51</v>
      </c>
      <c r="AI213">
        <v>59</v>
      </c>
      <c r="AJ213">
        <v>2</v>
      </c>
      <c r="AK213">
        <v>18</v>
      </c>
      <c r="AL213" t="s">
        <v>2929</v>
      </c>
      <c r="AM213" t="s">
        <v>2930</v>
      </c>
      <c r="AN213" t="s">
        <v>2931</v>
      </c>
      <c r="AO213" t="s">
        <v>2932</v>
      </c>
      <c r="AP213" t="s">
        <v>74</v>
      </c>
      <c r="AQ213" t="s">
        <v>74</v>
      </c>
      <c r="AR213" t="s">
        <v>2933</v>
      </c>
      <c r="AS213" t="s">
        <v>2934</v>
      </c>
      <c r="AT213" t="s">
        <v>3188</v>
      </c>
      <c r="AU213">
        <v>2001</v>
      </c>
      <c r="AV213">
        <v>25</v>
      </c>
      <c r="AW213">
        <v>2</v>
      </c>
      <c r="AX213" t="s">
        <v>74</v>
      </c>
      <c r="AY213" t="s">
        <v>74</v>
      </c>
      <c r="AZ213" t="s">
        <v>74</v>
      </c>
      <c r="BA213" t="s">
        <v>74</v>
      </c>
      <c r="BB213">
        <v>195</v>
      </c>
      <c r="BC213">
        <v>206</v>
      </c>
      <c r="BD213" t="s">
        <v>74</v>
      </c>
      <c r="BE213" t="s">
        <v>3189</v>
      </c>
      <c r="BF213" t="str">
        <f>HYPERLINK("http://dx.doi.org/10.3354/ame025195","http://dx.doi.org/10.3354/ame025195")</f>
        <v>http://dx.doi.org/10.3354/ame025195</v>
      </c>
      <c r="BG213" t="s">
        <v>74</v>
      </c>
      <c r="BH213" t="s">
        <v>74</v>
      </c>
      <c r="BI213">
        <v>12</v>
      </c>
      <c r="BJ213" t="s">
        <v>2684</v>
      </c>
      <c r="BK213" t="s">
        <v>88</v>
      </c>
      <c r="BL213" t="s">
        <v>2685</v>
      </c>
      <c r="BM213" t="s">
        <v>3190</v>
      </c>
      <c r="BN213" t="s">
        <v>74</v>
      </c>
      <c r="BO213" t="s">
        <v>171</v>
      </c>
      <c r="BP213" t="s">
        <v>74</v>
      </c>
      <c r="BQ213" t="s">
        <v>74</v>
      </c>
      <c r="BR213" t="s">
        <v>91</v>
      </c>
      <c r="BS213" t="s">
        <v>3191</v>
      </c>
      <c r="BT213" t="str">
        <f>HYPERLINK("https%3A%2F%2Fwww.webofscience.com%2Fwos%2Fwoscc%2Ffull-record%2FWOS:000171011000008","View Full Record in Web of Science")</f>
        <v>View Full Record in Web of Science</v>
      </c>
    </row>
    <row r="214" spans="1:72" x14ac:dyDescent="0.15">
      <c r="A214" t="s">
        <v>72</v>
      </c>
      <c r="B214" t="s">
        <v>3192</v>
      </c>
      <c r="C214" t="s">
        <v>74</v>
      </c>
      <c r="D214" t="s">
        <v>74</v>
      </c>
      <c r="E214" t="s">
        <v>74</v>
      </c>
      <c r="F214" t="s">
        <v>3192</v>
      </c>
      <c r="G214" t="s">
        <v>74</v>
      </c>
      <c r="H214" t="s">
        <v>74</v>
      </c>
      <c r="I214" t="s">
        <v>3193</v>
      </c>
      <c r="J214" t="s">
        <v>3194</v>
      </c>
      <c r="K214" t="s">
        <v>74</v>
      </c>
      <c r="L214" t="s">
        <v>74</v>
      </c>
      <c r="M214" t="s">
        <v>77</v>
      </c>
      <c r="N214" t="s">
        <v>696</v>
      </c>
      <c r="O214" t="s">
        <v>74</v>
      </c>
      <c r="P214" t="s">
        <v>74</v>
      </c>
      <c r="Q214" t="s">
        <v>74</v>
      </c>
      <c r="R214" t="s">
        <v>74</v>
      </c>
      <c r="S214" t="s">
        <v>74</v>
      </c>
      <c r="T214" t="s">
        <v>74</v>
      </c>
      <c r="U214" t="s">
        <v>74</v>
      </c>
      <c r="V214" t="s">
        <v>74</v>
      </c>
      <c r="W214" t="s">
        <v>74</v>
      </c>
      <c r="X214" t="s">
        <v>74</v>
      </c>
      <c r="Y214" t="s">
        <v>74</v>
      </c>
      <c r="Z214" t="s">
        <v>74</v>
      </c>
      <c r="AA214" t="s">
        <v>74</v>
      </c>
      <c r="AB214" t="s">
        <v>74</v>
      </c>
      <c r="AC214" t="s">
        <v>74</v>
      </c>
      <c r="AD214" t="s">
        <v>74</v>
      </c>
      <c r="AE214" t="s">
        <v>74</v>
      </c>
      <c r="AF214" t="s">
        <v>74</v>
      </c>
      <c r="AG214">
        <v>1</v>
      </c>
      <c r="AH214">
        <v>0</v>
      </c>
      <c r="AI214">
        <v>0</v>
      </c>
      <c r="AJ214">
        <v>0</v>
      </c>
      <c r="AK214">
        <v>0</v>
      </c>
      <c r="AL214" t="s">
        <v>3195</v>
      </c>
      <c r="AM214" t="s">
        <v>204</v>
      </c>
      <c r="AN214" t="s">
        <v>3196</v>
      </c>
      <c r="AO214" t="s">
        <v>3197</v>
      </c>
      <c r="AP214" t="s">
        <v>74</v>
      </c>
      <c r="AQ214" t="s">
        <v>74</v>
      </c>
      <c r="AR214" t="s">
        <v>3198</v>
      </c>
      <c r="AS214" t="s">
        <v>3199</v>
      </c>
      <c r="AT214" t="s">
        <v>3200</v>
      </c>
      <c r="AU214">
        <v>2001</v>
      </c>
      <c r="AV214" t="s">
        <v>74</v>
      </c>
      <c r="AW214" t="s">
        <v>74</v>
      </c>
      <c r="AX214" t="s">
        <v>74</v>
      </c>
      <c r="AY214" t="s">
        <v>74</v>
      </c>
      <c r="AZ214" t="s">
        <v>74</v>
      </c>
      <c r="BA214" t="s">
        <v>74</v>
      </c>
      <c r="BB214">
        <v>8</v>
      </c>
      <c r="BC214">
        <v>8</v>
      </c>
      <c r="BD214" t="s">
        <v>74</v>
      </c>
      <c r="BE214" t="s">
        <v>74</v>
      </c>
      <c r="BF214" t="s">
        <v>74</v>
      </c>
      <c r="BG214" t="s">
        <v>74</v>
      </c>
      <c r="BH214" t="s">
        <v>74</v>
      </c>
      <c r="BI214">
        <v>1</v>
      </c>
      <c r="BJ214" t="s">
        <v>3201</v>
      </c>
      <c r="BK214" t="s">
        <v>3202</v>
      </c>
      <c r="BL214" t="s">
        <v>3203</v>
      </c>
      <c r="BM214" t="s">
        <v>3204</v>
      </c>
      <c r="BN214" t="s">
        <v>74</v>
      </c>
      <c r="BO214" t="s">
        <v>74</v>
      </c>
      <c r="BP214" t="s">
        <v>74</v>
      </c>
      <c r="BQ214" t="s">
        <v>74</v>
      </c>
      <c r="BR214" t="s">
        <v>91</v>
      </c>
      <c r="BS214" t="s">
        <v>3205</v>
      </c>
      <c r="BT214" t="str">
        <f>HYPERLINK("https%3A%2F%2Fwww.webofscience.com%2Fwos%2Fwoscc%2Ffull-record%2FWOS:000170671100008","View Full Record in Web of Science")</f>
        <v>View Full Record in Web of Science</v>
      </c>
    </row>
    <row r="215" spans="1:72" x14ac:dyDescent="0.15">
      <c r="A215" t="s">
        <v>72</v>
      </c>
      <c r="B215" t="s">
        <v>3206</v>
      </c>
      <c r="C215" t="s">
        <v>74</v>
      </c>
      <c r="D215" t="s">
        <v>74</v>
      </c>
      <c r="E215" t="s">
        <v>74</v>
      </c>
      <c r="F215" t="s">
        <v>3206</v>
      </c>
      <c r="G215" t="s">
        <v>74</v>
      </c>
      <c r="H215" t="s">
        <v>74</v>
      </c>
      <c r="I215" t="s">
        <v>3207</v>
      </c>
      <c r="J215" t="s">
        <v>3208</v>
      </c>
      <c r="K215" t="s">
        <v>74</v>
      </c>
      <c r="L215" t="s">
        <v>74</v>
      </c>
      <c r="M215" t="s">
        <v>77</v>
      </c>
      <c r="N215" t="s">
        <v>120</v>
      </c>
      <c r="O215" t="s">
        <v>74</v>
      </c>
      <c r="P215" t="s">
        <v>74</v>
      </c>
      <c r="Q215" t="s">
        <v>74</v>
      </c>
      <c r="R215" t="s">
        <v>74</v>
      </c>
      <c r="S215" t="s">
        <v>74</v>
      </c>
      <c r="T215" t="s">
        <v>74</v>
      </c>
      <c r="U215" t="s">
        <v>74</v>
      </c>
      <c r="V215" t="s">
        <v>74</v>
      </c>
      <c r="W215" t="s">
        <v>2656</v>
      </c>
      <c r="X215" t="s">
        <v>2657</v>
      </c>
      <c r="Y215" t="s">
        <v>3209</v>
      </c>
      <c r="Z215" t="s">
        <v>3210</v>
      </c>
      <c r="AA215" t="s">
        <v>3211</v>
      </c>
      <c r="AB215" t="s">
        <v>74</v>
      </c>
      <c r="AC215" t="s">
        <v>74</v>
      </c>
      <c r="AD215" t="s">
        <v>74</v>
      </c>
      <c r="AE215" t="s">
        <v>74</v>
      </c>
      <c r="AF215" t="s">
        <v>74</v>
      </c>
      <c r="AG215">
        <v>10</v>
      </c>
      <c r="AH215">
        <v>7</v>
      </c>
      <c r="AI215">
        <v>7</v>
      </c>
      <c r="AJ215">
        <v>0</v>
      </c>
      <c r="AK215">
        <v>2</v>
      </c>
      <c r="AL215" t="s">
        <v>3212</v>
      </c>
      <c r="AM215" t="s">
        <v>3213</v>
      </c>
      <c r="AN215" t="s">
        <v>3214</v>
      </c>
      <c r="AO215" t="s">
        <v>3215</v>
      </c>
      <c r="AP215" t="s">
        <v>3216</v>
      </c>
      <c r="AQ215" t="s">
        <v>74</v>
      </c>
      <c r="AR215" t="s">
        <v>3217</v>
      </c>
      <c r="AS215" t="s">
        <v>3218</v>
      </c>
      <c r="AT215" t="s">
        <v>3219</v>
      </c>
      <c r="AU215">
        <v>2001</v>
      </c>
      <c r="AV215">
        <v>9</v>
      </c>
      <c r="AW215">
        <v>2</v>
      </c>
      <c r="AX215" t="s">
        <v>74</v>
      </c>
      <c r="AY215" t="s">
        <v>74</v>
      </c>
      <c r="AZ215" t="s">
        <v>74</v>
      </c>
      <c r="BA215" t="s">
        <v>74</v>
      </c>
      <c r="BB215">
        <v>193</v>
      </c>
      <c r="BC215">
        <v>194</v>
      </c>
      <c r="BD215" t="s">
        <v>74</v>
      </c>
      <c r="BE215" t="s">
        <v>74</v>
      </c>
      <c r="BF215" t="s">
        <v>74</v>
      </c>
      <c r="BG215" t="s">
        <v>74</v>
      </c>
      <c r="BH215" t="s">
        <v>74</v>
      </c>
      <c r="BI215">
        <v>2</v>
      </c>
      <c r="BJ215" t="s">
        <v>3220</v>
      </c>
      <c r="BK215" t="s">
        <v>88</v>
      </c>
      <c r="BL215" t="s">
        <v>3220</v>
      </c>
      <c r="BM215" t="s">
        <v>3221</v>
      </c>
      <c r="BN215" t="s">
        <v>74</v>
      </c>
      <c r="BO215" t="s">
        <v>74</v>
      </c>
      <c r="BP215" t="s">
        <v>74</v>
      </c>
      <c r="BQ215" t="s">
        <v>74</v>
      </c>
      <c r="BR215" t="s">
        <v>91</v>
      </c>
      <c r="BS215" t="s">
        <v>3222</v>
      </c>
      <c r="BT215" t="str">
        <f>HYPERLINK("https%3A%2F%2Fwww.webofscience.com%2Fwos%2Fwoscc%2Ffull-record%2FWOS:000172339600011","View Full Record in Web of Science")</f>
        <v>View Full Record in Web of Science</v>
      </c>
    </row>
    <row r="216" spans="1:72" x14ac:dyDescent="0.15">
      <c r="A216" t="s">
        <v>72</v>
      </c>
      <c r="B216" t="s">
        <v>3223</v>
      </c>
      <c r="C216" t="s">
        <v>74</v>
      </c>
      <c r="D216" t="s">
        <v>74</v>
      </c>
      <c r="E216" t="s">
        <v>74</v>
      </c>
      <c r="F216" t="s">
        <v>3223</v>
      </c>
      <c r="G216" t="s">
        <v>74</v>
      </c>
      <c r="H216" t="s">
        <v>74</v>
      </c>
      <c r="I216" t="s">
        <v>3224</v>
      </c>
      <c r="J216" t="s">
        <v>3225</v>
      </c>
      <c r="K216" t="s">
        <v>74</v>
      </c>
      <c r="L216" t="s">
        <v>74</v>
      </c>
      <c r="M216" t="s">
        <v>77</v>
      </c>
      <c r="N216" t="s">
        <v>120</v>
      </c>
      <c r="O216" t="s">
        <v>74</v>
      </c>
      <c r="P216" t="s">
        <v>74</v>
      </c>
      <c r="Q216" t="s">
        <v>74</v>
      </c>
      <c r="R216" t="s">
        <v>74</v>
      </c>
      <c r="S216" t="s">
        <v>74</v>
      </c>
      <c r="T216" t="s">
        <v>3226</v>
      </c>
      <c r="U216" t="s">
        <v>3227</v>
      </c>
      <c r="V216" t="s">
        <v>3228</v>
      </c>
      <c r="W216" t="s">
        <v>3229</v>
      </c>
      <c r="X216" t="s">
        <v>3230</v>
      </c>
      <c r="Y216" t="s">
        <v>3231</v>
      </c>
      <c r="Z216" t="s">
        <v>74</v>
      </c>
      <c r="AA216" t="s">
        <v>74</v>
      </c>
      <c r="AB216" t="s">
        <v>74</v>
      </c>
      <c r="AC216" t="s">
        <v>74</v>
      </c>
      <c r="AD216" t="s">
        <v>74</v>
      </c>
      <c r="AE216" t="s">
        <v>74</v>
      </c>
      <c r="AF216" t="s">
        <v>74</v>
      </c>
      <c r="AG216">
        <v>51</v>
      </c>
      <c r="AH216">
        <v>169</v>
      </c>
      <c r="AI216">
        <v>186</v>
      </c>
      <c r="AJ216">
        <v>0</v>
      </c>
      <c r="AK216">
        <v>35</v>
      </c>
      <c r="AL216" t="s">
        <v>1511</v>
      </c>
      <c r="AM216" t="s">
        <v>204</v>
      </c>
      <c r="AN216" t="s">
        <v>1512</v>
      </c>
      <c r="AO216" t="s">
        <v>3232</v>
      </c>
      <c r="AP216" t="s">
        <v>74</v>
      </c>
      <c r="AQ216" t="s">
        <v>74</v>
      </c>
      <c r="AR216" t="s">
        <v>3233</v>
      </c>
      <c r="AS216" t="s">
        <v>3234</v>
      </c>
      <c r="AT216" t="s">
        <v>3235</v>
      </c>
      <c r="AU216">
        <v>2001</v>
      </c>
      <c r="AV216">
        <v>264</v>
      </c>
      <c r="AW216">
        <v>1</v>
      </c>
      <c r="AX216" t="s">
        <v>74</v>
      </c>
      <c r="AY216" t="s">
        <v>74</v>
      </c>
      <c r="AZ216" t="s">
        <v>74</v>
      </c>
      <c r="BA216" t="s">
        <v>74</v>
      </c>
      <c r="BB216">
        <v>1</v>
      </c>
      <c r="BC216">
        <v>12</v>
      </c>
      <c r="BD216" t="s">
        <v>74</v>
      </c>
      <c r="BE216" t="s">
        <v>3236</v>
      </c>
      <c r="BF216" t="str">
        <f>HYPERLINK("http://dx.doi.org/10.1002/ar.1111","http://dx.doi.org/10.1002/ar.1111")</f>
        <v>http://dx.doi.org/10.1002/ar.1111</v>
      </c>
      <c r="BG216" t="s">
        <v>74</v>
      </c>
      <c r="BH216" t="s">
        <v>74</v>
      </c>
      <c r="BI216">
        <v>12</v>
      </c>
      <c r="BJ216" t="s">
        <v>2537</v>
      </c>
      <c r="BK216" t="s">
        <v>88</v>
      </c>
      <c r="BL216" t="s">
        <v>2537</v>
      </c>
      <c r="BM216" t="s">
        <v>3237</v>
      </c>
      <c r="BN216">
        <v>11505366</v>
      </c>
      <c r="BO216" t="s">
        <v>74</v>
      </c>
      <c r="BP216" t="s">
        <v>74</v>
      </c>
      <c r="BQ216" t="s">
        <v>74</v>
      </c>
      <c r="BR216" t="s">
        <v>91</v>
      </c>
      <c r="BS216" t="s">
        <v>3238</v>
      </c>
      <c r="BT216" t="str">
        <f>HYPERLINK("https%3A%2F%2Fwww.webofscience.com%2Fwos%2Fwoscc%2Ffull-record%2FWOS:000170603900001","View Full Record in Web of Science")</f>
        <v>View Full Record in Web of Science</v>
      </c>
    </row>
    <row r="217" spans="1:72" x14ac:dyDescent="0.15">
      <c r="A217" t="s">
        <v>72</v>
      </c>
      <c r="B217" t="s">
        <v>3239</v>
      </c>
      <c r="C217" t="s">
        <v>74</v>
      </c>
      <c r="D217" t="s">
        <v>74</v>
      </c>
      <c r="E217" t="s">
        <v>74</v>
      </c>
      <c r="F217" t="s">
        <v>3239</v>
      </c>
      <c r="G217" t="s">
        <v>74</v>
      </c>
      <c r="H217" t="s">
        <v>74</v>
      </c>
      <c r="I217" t="s">
        <v>3240</v>
      </c>
      <c r="J217" t="s">
        <v>3241</v>
      </c>
      <c r="K217" t="s">
        <v>74</v>
      </c>
      <c r="L217" t="s">
        <v>74</v>
      </c>
      <c r="M217" t="s">
        <v>77</v>
      </c>
      <c r="N217" t="s">
        <v>414</v>
      </c>
      <c r="O217" t="s">
        <v>74</v>
      </c>
      <c r="P217" t="s">
        <v>74</v>
      </c>
      <c r="Q217" t="s">
        <v>74</v>
      </c>
      <c r="R217" t="s">
        <v>74</v>
      </c>
      <c r="S217" t="s">
        <v>74</v>
      </c>
      <c r="T217" t="s">
        <v>74</v>
      </c>
      <c r="U217" t="s">
        <v>74</v>
      </c>
      <c r="V217" t="s">
        <v>74</v>
      </c>
      <c r="W217" t="s">
        <v>74</v>
      </c>
      <c r="X217" t="s">
        <v>74</v>
      </c>
      <c r="Y217" t="s">
        <v>74</v>
      </c>
      <c r="Z217" t="s">
        <v>74</v>
      </c>
      <c r="AA217" t="s">
        <v>74</v>
      </c>
      <c r="AB217" t="s">
        <v>3242</v>
      </c>
      <c r="AC217" t="s">
        <v>74</v>
      </c>
      <c r="AD217" t="s">
        <v>74</v>
      </c>
      <c r="AE217" t="s">
        <v>74</v>
      </c>
      <c r="AF217" t="s">
        <v>74</v>
      </c>
      <c r="AG217">
        <v>0</v>
      </c>
      <c r="AH217">
        <v>0</v>
      </c>
      <c r="AI217">
        <v>0</v>
      </c>
      <c r="AJ217">
        <v>0</v>
      </c>
      <c r="AK217">
        <v>1</v>
      </c>
      <c r="AL217" t="s">
        <v>1293</v>
      </c>
      <c r="AM217" t="s">
        <v>3243</v>
      </c>
      <c r="AN217" t="s">
        <v>3244</v>
      </c>
      <c r="AO217" t="s">
        <v>3245</v>
      </c>
      <c r="AP217" t="s">
        <v>74</v>
      </c>
      <c r="AQ217" t="s">
        <v>74</v>
      </c>
      <c r="AR217" t="s">
        <v>3246</v>
      </c>
      <c r="AS217" t="s">
        <v>3247</v>
      </c>
      <c r="AT217" t="s">
        <v>3219</v>
      </c>
      <c r="AU217">
        <v>2001</v>
      </c>
      <c r="AV217">
        <v>13</v>
      </c>
      <c r="AW217">
        <v>3</v>
      </c>
      <c r="AX217" t="s">
        <v>74</v>
      </c>
      <c r="AY217" t="s">
        <v>74</v>
      </c>
      <c r="AZ217" t="s">
        <v>74</v>
      </c>
      <c r="BA217" t="s">
        <v>74</v>
      </c>
      <c r="BB217">
        <v>225</v>
      </c>
      <c r="BC217">
        <v>225</v>
      </c>
      <c r="BD217" t="s">
        <v>74</v>
      </c>
      <c r="BE217" t="s">
        <v>3248</v>
      </c>
      <c r="BF217" t="str">
        <f>HYPERLINK("http://dx.doi.org/10.1017/S0954102001000323","http://dx.doi.org/10.1017/S0954102001000323")</f>
        <v>http://dx.doi.org/10.1017/S0954102001000323</v>
      </c>
      <c r="BG217" t="s">
        <v>74</v>
      </c>
      <c r="BH217" t="s">
        <v>74</v>
      </c>
      <c r="BI217">
        <v>1</v>
      </c>
      <c r="BJ217" t="s">
        <v>3249</v>
      </c>
      <c r="BK217" t="s">
        <v>88</v>
      </c>
      <c r="BL217" t="s">
        <v>3250</v>
      </c>
      <c r="BM217" t="s">
        <v>3251</v>
      </c>
      <c r="BN217" t="s">
        <v>74</v>
      </c>
      <c r="BO217" t="s">
        <v>171</v>
      </c>
      <c r="BP217" t="s">
        <v>74</v>
      </c>
      <c r="BQ217" t="s">
        <v>74</v>
      </c>
      <c r="BR217" t="s">
        <v>91</v>
      </c>
      <c r="BS217" t="s">
        <v>3252</v>
      </c>
      <c r="BT217" t="str">
        <f>HYPERLINK("https%3A%2F%2Fwww.webofscience.com%2Fwos%2Fwoscc%2Ffull-record%2FWOS:000170952200001","View Full Record in Web of Science")</f>
        <v>View Full Record in Web of Science</v>
      </c>
    </row>
    <row r="218" spans="1:72" x14ac:dyDescent="0.15">
      <c r="A218" t="s">
        <v>72</v>
      </c>
      <c r="B218" t="s">
        <v>3253</v>
      </c>
      <c r="C218" t="s">
        <v>74</v>
      </c>
      <c r="D218" t="s">
        <v>74</v>
      </c>
      <c r="E218" t="s">
        <v>74</v>
      </c>
      <c r="F218" t="s">
        <v>3253</v>
      </c>
      <c r="G218" t="s">
        <v>74</v>
      </c>
      <c r="H218" t="s">
        <v>74</v>
      </c>
      <c r="I218" t="s">
        <v>3254</v>
      </c>
      <c r="J218" t="s">
        <v>3241</v>
      </c>
      <c r="K218" t="s">
        <v>74</v>
      </c>
      <c r="L218" t="s">
        <v>74</v>
      </c>
      <c r="M218" t="s">
        <v>77</v>
      </c>
      <c r="N218" t="s">
        <v>96</v>
      </c>
      <c r="O218" t="s">
        <v>74</v>
      </c>
      <c r="P218" t="s">
        <v>74</v>
      </c>
      <c r="Q218" t="s">
        <v>74</v>
      </c>
      <c r="R218" t="s">
        <v>74</v>
      </c>
      <c r="S218" t="s">
        <v>74</v>
      </c>
      <c r="T218" t="s">
        <v>3255</v>
      </c>
      <c r="U218" t="s">
        <v>3256</v>
      </c>
      <c r="V218" t="s">
        <v>3257</v>
      </c>
      <c r="W218" t="s">
        <v>3258</v>
      </c>
      <c r="X218" t="s">
        <v>3259</v>
      </c>
      <c r="Y218" t="s">
        <v>3260</v>
      </c>
      <c r="Z218" t="s">
        <v>74</v>
      </c>
      <c r="AA218" t="s">
        <v>74</v>
      </c>
      <c r="AB218" t="s">
        <v>74</v>
      </c>
      <c r="AC218" t="s">
        <v>74</v>
      </c>
      <c r="AD218" t="s">
        <v>74</v>
      </c>
      <c r="AE218" t="s">
        <v>74</v>
      </c>
      <c r="AF218" t="s">
        <v>74</v>
      </c>
      <c r="AG218">
        <v>76</v>
      </c>
      <c r="AH218">
        <v>42</v>
      </c>
      <c r="AI218">
        <v>48</v>
      </c>
      <c r="AJ218">
        <v>2</v>
      </c>
      <c r="AK218">
        <v>21</v>
      </c>
      <c r="AL218" t="s">
        <v>1293</v>
      </c>
      <c r="AM218" t="s">
        <v>3243</v>
      </c>
      <c r="AN218" t="s">
        <v>3244</v>
      </c>
      <c r="AO218" t="s">
        <v>3245</v>
      </c>
      <c r="AP218" t="s">
        <v>74</v>
      </c>
      <c r="AQ218" t="s">
        <v>74</v>
      </c>
      <c r="AR218" t="s">
        <v>3246</v>
      </c>
      <c r="AS218" t="s">
        <v>3247</v>
      </c>
      <c r="AT218" t="s">
        <v>3219</v>
      </c>
      <c r="AU218">
        <v>2001</v>
      </c>
      <c r="AV218">
        <v>13</v>
      </c>
      <c r="AW218">
        <v>3</v>
      </c>
      <c r="AX218" t="s">
        <v>74</v>
      </c>
      <c r="AY218" t="s">
        <v>74</v>
      </c>
      <c r="AZ218" t="s">
        <v>74</v>
      </c>
      <c r="BA218" t="s">
        <v>74</v>
      </c>
      <c r="BB218">
        <v>227</v>
      </c>
      <c r="BC218">
        <v>235</v>
      </c>
      <c r="BD218" t="s">
        <v>74</v>
      </c>
      <c r="BE218" t="s">
        <v>3261</v>
      </c>
      <c r="BF218" t="str">
        <f>HYPERLINK("http://dx.doi.org/10.1017/S0954102001000335","http://dx.doi.org/10.1017/S0954102001000335")</f>
        <v>http://dx.doi.org/10.1017/S0954102001000335</v>
      </c>
      <c r="BG218" t="s">
        <v>74</v>
      </c>
      <c r="BH218" t="s">
        <v>74</v>
      </c>
      <c r="BI218">
        <v>9</v>
      </c>
      <c r="BJ218" t="s">
        <v>3249</v>
      </c>
      <c r="BK218" t="s">
        <v>88</v>
      </c>
      <c r="BL218" t="s">
        <v>3250</v>
      </c>
      <c r="BM218" t="s">
        <v>3251</v>
      </c>
      <c r="BN218" t="s">
        <v>74</v>
      </c>
      <c r="BO218" t="s">
        <v>74</v>
      </c>
      <c r="BP218" t="s">
        <v>74</v>
      </c>
      <c r="BQ218" t="s">
        <v>74</v>
      </c>
      <c r="BR218" t="s">
        <v>91</v>
      </c>
      <c r="BS218" t="s">
        <v>3262</v>
      </c>
      <c r="BT218" t="str">
        <f>HYPERLINK("https%3A%2F%2Fwww.webofscience.com%2Fwos%2Fwoscc%2Ffull-record%2FWOS:000170952200002","View Full Record in Web of Science")</f>
        <v>View Full Record in Web of Science</v>
      </c>
    </row>
    <row r="219" spans="1:72" x14ac:dyDescent="0.15">
      <c r="A219" t="s">
        <v>72</v>
      </c>
      <c r="B219" t="s">
        <v>3263</v>
      </c>
      <c r="C219" t="s">
        <v>74</v>
      </c>
      <c r="D219" t="s">
        <v>74</v>
      </c>
      <c r="E219" t="s">
        <v>74</v>
      </c>
      <c r="F219" t="s">
        <v>3263</v>
      </c>
      <c r="G219" t="s">
        <v>74</v>
      </c>
      <c r="H219" t="s">
        <v>74</v>
      </c>
      <c r="I219" t="s">
        <v>3264</v>
      </c>
      <c r="J219" t="s">
        <v>3241</v>
      </c>
      <c r="K219" t="s">
        <v>74</v>
      </c>
      <c r="L219" t="s">
        <v>74</v>
      </c>
      <c r="M219" t="s">
        <v>77</v>
      </c>
      <c r="N219" t="s">
        <v>96</v>
      </c>
      <c r="O219" t="s">
        <v>74</v>
      </c>
      <c r="P219" t="s">
        <v>74</v>
      </c>
      <c r="Q219" t="s">
        <v>74</v>
      </c>
      <c r="R219" t="s">
        <v>74</v>
      </c>
      <c r="S219" t="s">
        <v>74</v>
      </c>
      <c r="T219" t="s">
        <v>3265</v>
      </c>
      <c r="U219" t="s">
        <v>74</v>
      </c>
      <c r="V219" t="s">
        <v>3266</v>
      </c>
      <c r="W219" t="s">
        <v>3267</v>
      </c>
      <c r="X219" t="s">
        <v>3268</v>
      </c>
      <c r="Y219" t="s">
        <v>3269</v>
      </c>
      <c r="Z219" t="s">
        <v>3270</v>
      </c>
      <c r="AA219" t="s">
        <v>3271</v>
      </c>
      <c r="AB219" t="s">
        <v>74</v>
      </c>
      <c r="AC219" t="s">
        <v>74</v>
      </c>
      <c r="AD219" t="s">
        <v>74</v>
      </c>
      <c r="AE219" t="s">
        <v>74</v>
      </c>
      <c r="AF219" t="s">
        <v>74</v>
      </c>
      <c r="AG219">
        <v>6</v>
      </c>
      <c r="AH219">
        <v>2</v>
      </c>
      <c r="AI219">
        <v>2</v>
      </c>
      <c r="AJ219">
        <v>1</v>
      </c>
      <c r="AK219">
        <v>2</v>
      </c>
      <c r="AL219" t="s">
        <v>1293</v>
      </c>
      <c r="AM219" t="s">
        <v>204</v>
      </c>
      <c r="AN219" t="s">
        <v>1699</v>
      </c>
      <c r="AO219" t="s">
        <v>3245</v>
      </c>
      <c r="AP219" t="s">
        <v>74</v>
      </c>
      <c r="AQ219" t="s">
        <v>74</v>
      </c>
      <c r="AR219" t="s">
        <v>3246</v>
      </c>
      <c r="AS219" t="s">
        <v>3247</v>
      </c>
      <c r="AT219" t="s">
        <v>3219</v>
      </c>
      <c r="AU219">
        <v>2001</v>
      </c>
      <c r="AV219">
        <v>13</v>
      </c>
      <c r="AW219">
        <v>3</v>
      </c>
      <c r="AX219" t="s">
        <v>74</v>
      </c>
      <c r="AY219" t="s">
        <v>74</v>
      </c>
      <c r="AZ219" t="s">
        <v>74</v>
      </c>
      <c r="BA219" t="s">
        <v>74</v>
      </c>
      <c r="BB219">
        <v>237</v>
      </c>
      <c r="BC219">
        <v>239</v>
      </c>
      <c r="BD219" t="s">
        <v>74</v>
      </c>
      <c r="BE219" t="s">
        <v>3272</v>
      </c>
      <c r="BF219" t="str">
        <f>HYPERLINK("http://dx.doi.org/10.1017/S0954102001000347","http://dx.doi.org/10.1017/S0954102001000347")</f>
        <v>http://dx.doi.org/10.1017/S0954102001000347</v>
      </c>
      <c r="BG219" t="s">
        <v>74</v>
      </c>
      <c r="BH219" t="s">
        <v>74</v>
      </c>
      <c r="BI219">
        <v>3</v>
      </c>
      <c r="BJ219" t="s">
        <v>3249</v>
      </c>
      <c r="BK219" t="s">
        <v>88</v>
      </c>
      <c r="BL219" t="s">
        <v>3250</v>
      </c>
      <c r="BM219" t="s">
        <v>3251</v>
      </c>
      <c r="BN219" t="s">
        <v>74</v>
      </c>
      <c r="BO219" t="s">
        <v>74</v>
      </c>
      <c r="BP219" t="s">
        <v>74</v>
      </c>
      <c r="BQ219" t="s">
        <v>74</v>
      </c>
      <c r="BR219" t="s">
        <v>91</v>
      </c>
      <c r="BS219" t="s">
        <v>3273</v>
      </c>
      <c r="BT219" t="str">
        <f>HYPERLINK("https%3A%2F%2Fwww.webofscience.com%2Fwos%2Fwoscc%2Ffull-record%2FWOS:000170952200003","View Full Record in Web of Science")</f>
        <v>View Full Record in Web of Science</v>
      </c>
    </row>
    <row r="220" spans="1:72" x14ac:dyDescent="0.15">
      <c r="A220" t="s">
        <v>72</v>
      </c>
      <c r="B220" t="s">
        <v>3274</v>
      </c>
      <c r="C220" t="s">
        <v>74</v>
      </c>
      <c r="D220" t="s">
        <v>74</v>
      </c>
      <c r="E220" t="s">
        <v>74</v>
      </c>
      <c r="F220" t="s">
        <v>3274</v>
      </c>
      <c r="G220" t="s">
        <v>74</v>
      </c>
      <c r="H220" t="s">
        <v>74</v>
      </c>
      <c r="I220" t="s">
        <v>3275</v>
      </c>
      <c r="J220" t="s">
        <v>3241</v>
      </c>
      <c r="K220" t="s">
        <v>74</v>
      </c>
      <c r="L220" t="s">
        <v>74</v>
      </c>
      <c r="M220" t="s">
        <v>77</v>
      </c>
      <c r="N220" t="s">
        <v>120</v>
      </c>
      <c r="O220" t="s">
        <v>74</v>
      </c>
      <c r="P220" t="s">
        <v>74</v>
      </c>
      <c r="Q220" t="s">
        <v>74</v>
      </c>
      <c r="R220" t="s">
        <v>74</v>
      </c>
      <c r="S220" t="s">
        <v>74</v>
      </c>
      <c r="T220" t="s">
        <v>3276</v>
      </c>
      <c r="U220" t="s">
        <v>3277</v>
      </c>
      <c r="V220" t="s">
        <v>3278</v>
      </c>
      <c r="W220" t="s">
        <v>3279</v>
      </c>
      <c r="X220" t="s">
        <v>3280</v>
      </c>
      <c r="Y220" t="s">
        <v>3281</v>
      </c>
      <c r="Z220" t="s">
        <v>74</v>
      </c>
      <c r="AA220" t="s">
        <v>74</v>
      </c>
      <c r="AB220" t="s">
        <v>3282</v>
      </c>
      <c r="AC220" t="s">
        <v>74</v>
      </c>
      <c r="AD220" t="s">
        <v>74</v>
      </c>
      <c r="AE220" t="s">
        <v>74</v>
      </c>
      <c r="AF220" t="s">
        <v>74</v>
      </c>
      <c r="AG220">
        <v>27</v>
      </c>
      <c r="AH220">
        <v>33</v>
      </c>
      <c r="AI220">
        <v>33</v>
      </c>
      <c r="AJ220">
        <v>0</v>
      </c>
      <c r="AK220">
        <v>14</v>
      </c>
      <c r="AL220" t="s">
        <v>1293</v>
      </c>
      <c r="AM220" t="s">
        <v>3243</v>
      </c>
      <c r="AN220" t="s">
        <v>3244</v>
      </c>
      <c r="AO220" t="s">
        <v>3245</v>
      </c>
      <c r="AP220" t="s">
        <v>74</v>
      </c>
      <c r="AQ220" t="s">
        <v>74</v>
      </c>
      <c r="AR220" t="s">
        <v>3246</v>
      </c>
      <c r="AS220" t="s">
        <v>3247</v>
      </c>
      <c r="AT220" t="s">
        <v>3219</v>
      </c>
      <c r="AU220">
        <v>2001</v>
      </c>
      <c r="AV220">
        <v>13</v>
      </c>
      <c r="AW220">
        <v>3</v>
      </c>
      <c r="AX220" t="s">
        <v>74</v>
      </c>
      <c r="AY220" t="s">
        <v>74</v>
      </c>
      <c r="AZ220" t="s">
        <v>74</v>
      </c>
      <c r="BA220" t="s">
        <v>74</v>
      </c>
      <c r="BB220">
        <v>240</v>
      </c>
      <c r="BC220">
        <v>245</v>
      </c>
      <c r="BD220" t="s">
        <v>74</v>
      </c>
      <c r="BE220" t="s">
        <v>3283</v>
      </c>
      <c r="BF220" t="str">
        <f>HYPERLINK("http://dx.doi.org/10.1017/S0954102001000359","http://dx.doi.org/10.1017/S0954102001000359")</f>
        <v>http://dx.doi.org/10.1017/S0954102001000359</v>
      </c>
      <c r="BG220" t="s">
        <v>74</v>
      </c>
      <c r="BH220" t="s">
        <v>74</v>
      </c>
      <c r="BI220">
        <v>6</v>
      </c>
      <c r="BJ220" t="s">
        <v>3249</v>
      </c>
      <c r="BK220" t="s">
        <v>88</v>
      </c>
      <c r="BL220" t="s">
        <v>3250</v>
      </c>
      <c r="BM220" t="s">
        <v>3251</v>
      </c>
      <c r="BN220" t="s">
        <v>74</v>
      </c>
      <c r="BO220" t="s">
        <v>74</v>
      </c>
      <c r="BP220" t="s">
        <v>74</v>
      </c>
      <c r="BQ220" t="s">
        <v>74</v>
      </c>
      <c r="BR220" t="s">
        <v>91</v>
      </c>
      <c r="BS220" t="s">
        <v>3284</v>
      </c>
      <c r="BT220" t="str">
        <f>HYPERLINK("https%3A%2F%2Fwww.webofscience.com%2Fwos%2Fwoscc%2Ffull-record%2FWOS:000170952200004","View Full Record in Web of Science")</f>
        <v>View Full Record in Web of Science</v>
      </c>
    </row>
    <row r="221" spans="1:72" x14ac:dyDescent="0.15">
      <c r="A221" t="s">
        <v>72</v>
      </c>
      <c r="B221" t="s">
        <v>3285</v>
      </c>
      <c r="C221" t="s">
        <v>74</v>
      </c>
      <c r="D221" t="s">
        <v>74</v>
      </c>
      <c r="E221" t="s">
        <v>74</v>
      </c>
      <c r="F221" t="s">
        <v>3285</v>
      </c>
      <c r="G221" t="s">
        <v>74</v>
      </c>
      <c r="H221" t="s">
        <v>74</v>
      </c>
      <c r="I221" t="s">
        <v>3286</v>
      </c>
      <c r="J221" t="s">
        <v>3241</v>
      </c>
      <c r="K221" t="s">
        <v>74</v>
      </c>
      <c r="L221" t="s">
        <v>74</v>
      </c>
      <c r="M221" t="s">
        <v>77</v>
      </c>
      <c r="N221" t="s">
        <v>120</v>
      </c>
      <c r="O221" t="s">
        <v>74</v>
      </c>
      <c r="P221" t="s">
        <v>74</v>
      </c>
      <c r="Q221" t="s">
        <v>74</v>
      </c>
      <c r="R221" t="s">
        <v>74</v>
      </c>
      <c r="S221" t="s">
        <v>74</v>
      </c>
      <c r="T221" t="s">
        <v>3287</v>
      </c>
      <c r="U221" t="s">
        <v>3288</v>
      </c>
      <c r="V221" t="s">
        <v>3289</v>
      </c>
      <c r="W221" t="s">
        <v>3290</v>
      </c>
      <c r="X221" t="s">
        <v>244</v>
      </c>
      <c r="Y221" t="s">
        <v>3291</v>
      </c>
      <c r="Z221" t="s">
        <v>74</v>
      </c>
      <c r="AA221" t="s">
        <v>74</v>
      </c>
      <c r="AB221" t="s">
        <v>247</v>
      </c>
      <c r="AC221" t="s">
        <v>74</v>
      </c>
      <c r="AD221" t="s">
        <v>74</v>
      </c>
      <c r="AE221" t="s">
        <v>74</v>
      </c>
      <c r="AF221" t="s">
        <v>74</v>
      </c>
      <c r="AG221">
        <v>54</v>
      </c>
      <c r="AH221">
        <v>39</v>
      </c>
      <c r="AI221">
        <v>43</v>
      </c>
      <c r="AJ221">
        <v>2</v>
      </c>
      <c r="AK221">
        <v>13</v>
      </c>
      <c r="AL221" t="s">
        <v>1293</v>
      </c>
      <c r="AM221" t="s">
        <v>3243</v>
      </c>
      <c r="AN221" t="s">
        <v>3244</v>
      </c>
      <c r="AO221" t="s">
        <v>3245</v>
      </c>
      <c r="AP221" t="s">
        <v>74</v>
      </c>
      <c r="AQ221" t="s">
        <v>74</v>
      </c>
      <c r="AR221" t="s">
        <v>3246</v>
      </c>
      <c r="AS221" t="s">
        <v>3247</v>
      </c>
      <c r="AT221" t="s">
        <v>3219</v>
      </c>
      <c r="AU221">
        <v>2001</v>
      </c>
      <c r="AV221">
        <v>13</v>
      </c>
      <c r="AW221">
        <v>3</v>
      </c>
      <c r="AX221" t="s">
        <v>74</v>
      </c>
      <c r="AY221" t="s">
        <v>74</v>
      </c>
      <c r="AZ221" t="s">
        <v>74</v>
      </c>
      <c r="BA221" t="s">
        <v>74</v>
      </c>
      <c r="BB221">
        <v>246</v>
      </c>
      <c r="BC221">
        <v>254</v>
      </c>
      <c r="BD221" t="s">
        <v>74</v>
      </c>
      <c r="BE221" t="s">
        <v>3292</v>
      </c>
      <c r="BF221" t="str">
        <f>HYPERLINK("http://dx.doi.org/10.1017/S0954102001000360","http://dx.doi.org/10.1017/S0954102001000360")</f>
        <v>http://dx.doi.org/10.1017/S0954102001000360</v>
      </c>
      <c r="BG221" t="s">
        <v>74</v>
      </c>
      <c r="BH221" t="s">
        <v>74</v>
      </c>
      <c r="BI221">
        <v>9</v>
      </c>
      <c r="BJ221" t="s">
        <v>3249</v>
      </c>
      <c r="BK221" t="s">
        <v>88</v>
      </c>
      <c r="BL221" t="s">
        <v>3250</v>
      </c>
      <c r="BM221" t="s">
        <v>3251</v>
      </c>
      <c r="BN221" t="s">
        <v>74</v>
      </c>
      <c r="BO221" t="s">
        <v>74</v>
      </c>
      <c r="BP221" t="s">
        <v>74</v>
      </c>
      <c r="BQ221" t="s">
        <v>74</v>
      </c>
      <c r="BR221" t="s">
        <v>91</v>
      </c>
      <c r="BS221" t="s">
        <v>3293</v>
      </c>
      <c r="BT221" t="str">
        <f>HYPERLINK("https%3A%2F%2Fwww.webofscience.com%2Fwos%2Fwoscc%2Ffull-record%2FWOS:000170952200005","View Full Record in Web of Science")</f>
        <v>View Full Record in Web of Science</v>
      </c>
    </row>
    <row r="222" spans="1:72" x14ac:dyDescent="0.15">
      <c r="A222" t="s">
        <v>72</v>
      </c>
      <c r="B222" t="s">
        <v>3294</v>
      </c>
      <c r="C222" t="s">
        <v>74</v>
      </c>
      <c r="D222" t="s">
        <v>74</v>
      </c>
      <c r="E222" t="s">
        <v>74</v>
      </c>
      <c r="F222" t="s">
        <v>3294</v>
      </c>
      <c r="G222" t="s">
        <v>74</v>
      </c>
      <c r="H222" t="s">
        <v>74</v>
      </c>
      <c r="I222" t="s">
        <v>3295</v>
      </c>
      <c r="J222" t="s">
        <v>3241</v>
      </c>
      <c r="K222" t="s">
        <v>74</v>
      </c>
      <c r="L222" t="s">
        <v>74</v>
      </c>
      <c r="M222" t="s">
        <v>77</v>
      </c>
      <c r="N222" t="s">
        <v>120</v>
      </c>
      <c r="O222" t="s">
        <v>74</v>
      </c>
      <c r="P222" t="s">
        <v>74</v>
      </c>
      <c r="Q222" t="s">
        <v>74</v>
      </c>
      <c r="R222" t="s">
        <v>74</v>
      </c>
      <c r="S222" t="s">
        <v>74</v>
      </c>
      <c r="T222" t="s">
        <v>3296</v>
      </c>
      <c r="U222" t="s">
        <v>3297</v>
      </c>
      <c r="V222" t="s">
        <v>3298</v>
      </c>
      <c r="W222" t="s">
        <v>3299</v>
      </c>
      <c r="X222" t="s">
        <v>3300</v>
      </c>
      <c r="Y222" t="s">
        <v>3301</v>
      </c>
      <c r="Z222" t="s">
        <v>74</v>
      </c>
      <c r="AA222" t="s">
        <v>1028</v>
      </c>
      <c r="AB222" t="s">
        <v>74</v>
      </c>
      <c r="AC222" t="s">
        <v>74</v>
      </c>
      <c r="AD222" t="s">
        <v>74</v>
      </c>
      <c r="AE222" t="s">
        <v>74</v>
      </c>
      <c r="AF222" t="s">
        <v>74</v>
      </c>
      <c r="AG222">
        <v>41</v>
      </c>
      <c r="AH222">
        <v>55</v>
      </c>
      <c r="AI222">
        <v>57</v>
      </c>
      <c r="AJ222">
        <v>0</v>
      </c>
      <c r="AK222">
        <v>18</v>
      </c>
      <c r="AL222" t="s">
        <v>1293</v>
      </c>
      <c r="AM222" t="s">
        <v>3243</v>
      </c>
      <c r="AN222" t="s">
        <v>3244</v>
      </c>
      <c r="AO222" t="s">
        <v>3245</v>
      </c>
      <c r="AP222" t="s">
        <v>74</v>
      </c>
      <c r="AQ222" t="s">
        <v>74</v>
      </c>
      <c r="AR222" t="s">
        <v>3246</v>
      </c>
      <c r="AS222" t="s">
        <v>3247</v>
      </c>
      <c r="AT222" t="s">
        <v>3219</v>
      </c>
      <c r="AU222">
        <v>2001</v>
      </c>
      <c r="AV222">
        <v>13</v>
      </c>
      <c r="AW222">
        <v>3</v>
      </c>
      <c r="AX222" t="s">
        <v>74</v>
      </c>
      <c r="AY222" t="s">
        <v>74</v>
      </c>
      <c r="AZ222" t="s">
        <v>74</v>
      </c>
      <c r="BA222" t="s">
        <v>74</v>
      </c>
      <c r="BB222">
        <v>255</v>
      </c>
      <c r="BC222">
        <v>270</v>
      </c>
      <c r="BD222" t="s">
        <v>74</v>
      </c>
      <c r="BE222" t="s">
        <v>3302</v>
      </c>
      <c r="BF222" t="str">
        <f>HYPERLINK("http://dx.doi.org/10.1017/S0954102001000372","http://dx.doi.org/10.1017/S0954102001000372")</f>
        <v>http://dx.doi.org/10.1017/S0954102001000372</v>
      </c>
      <c r="BG222" t="s">
        <v>74</v>
      </c>
      <c r="BH222" t="s">
        <v>74</v>
      </c>
      <c r="BI222">
        <v>16</v>
      </c>
      <c r="BJ222" t="s">
        <v>3249</v>
      </c>
      <c r="BK222" t="s">
        <v>88</v>
      </c>
      <c r="BL222" t="s">
        <v>3250</v>
      </c>
      <c r="BM222" t="s">
        <v>3251</v>
      </c>
      <c r="BN222" t="s">
        <v>74</v>
      </c>
      <c r="BO222" t="s">
        <v>74</v>
      </c>
      <c r="BP222" t="s">
        <v>74</v>
      </c>
      <c r="BQ222" t="s">
        <v>74</v>
      </c>
      <c r="BR222" t="s">
        <v>91</v>
      </c>
      <c r="BS222" t="s">
        <v>3303</v>
      </c>
      <c r="BT222" t="str">
        <f>HYPERLINK("https%3A%2F%2Fwww.webofscience.com%2Fwos%2Fwoscc%2Ffull-record%2FWOS:000170952200006","View Full Record in Web of Science")</f>
        <v>View Full Record in Web of Science</v>
      </c>
    </row>
    <row r="223" spans="1:72" x14ac:dyDescent="0.15">
      <c r="A223" t="s">
        <v>72</v>
      </c>
      <c r="B223" t="s">
        <v>3304</v>
      </c>
      <c r="C223" t="s">
        <v>74</v>
      </c>
      <c r="D223" t="s">
        <v>74</v>
      </c>
      <c r="E223" t="s">
        <v>74</v>
      </c>
      <c r="F223" t="s">
        <v>3304</v>
      </c>
      <c r="G223" t="s">
        <v>74</v>
      </c>
      <c r="H223" t="s">
        <v>74</v>
      </c>
      <c r="I223" t="s">
        <v>3305</v>
      </c>
      <c r="J223" t="s">
        <v>3241</v>
      </c>
      <c r="K223" t="s">
        <v>74</v>
      </c>
      <c r="L223" t="s">
        <v>74</v>
      </c>
      <c r="M223" t="s">
        <v>77</v>
      </c>
      <c r="N223" t="s">
        <v>120</v>
      </c>
      <c r="O223" t="s">
        <v>74</v>
      </c>
      <c r="P223" t="s">
        <v>74</v>
      </c>
      <c r="Q223" t="s">
        <v>74</v>
      </c>
      <c r="R223" t="s">
        <v>74</v>
      </c>
      <c r="S223" t="s">
        <v>74</v>
      </c>
      <c r="T223" t="s">
        <v>3306</v>
      </c>
      <c r="U223" t="s">
        <v>3307</v>
      </c>
      <c r="V223" t="s">
        <v>3308</v>
      </c>
      <c r="W223" t="s">
        <v>3309</v>
      </c>
      <c r="X223" t="s">
        <v>3310</v>
      </c>
      <c r="Y223" t="s">
        <v>3311</v>
      </c>
      <c r="Z223" t="s">
        <v>3312</v>
      </c>
      <c r="AA223" t="s">
        <v>3313</v>
      </c>
      <c r="AB223" t="s">
        <v>3314</v>
      </c>
      <c r="AC223" t="s">
        <v>74</v>
      </c>
      <c r="AD223" t="s">
        <v>74</v>
      </c>
      <c r="AE223" t="s">
        <v>74</v>
      </c>
      <c r="AF223" t="s">
        <v>74</v>
      </c>
      <c r="AG223">
        <v>28</v>
      </c>
      <c r="AH223">
        <v>39</v>
      </c>
      <c r="AI223">
        <v>42</v>
      </c>
      <c r="AJ223">
        <v>0</v>
      </c>
      <c r="AK223">
        <v>12</v>
      </c>
      <c r="AL223" t="s">
        <v>1293</v>
      </c>
      <c r="AM223" t="s">
        <v>204</v>
      </c>
      <c r="AN223" t="s">
        <v>1699</v>
      </c>
      <c r="AO223" t="s">
        <v>3245</v>
      </c>
      <c r="AP223" t="s">
        <v>3315</v>
      </c>
      <c r="AQ223" t="s">
        <v>74</v>
      </c>
      <c r="AR223" t="s">
        <v>3246</v>
      </c>
      <c r="AS223" t="s">
        <v>3247</v>
      </c>
      <c r="AT223" t="s">
        <v>3219</v>
      </c>
      <c r="AU223">
        <v>2001</v>
      </c>
      <c r="AV223">
        <v>13</v>
      </c>
      <c r="AW223">
        <v>3</v>
      </c>
      <c r="AX223" t="s">
        <v>74</v>
      </c>
      <c r="AY223" t="s">
        <v>74</v>
      </c>
      <c r="AZ223" t="s">
        <v>74</v>
      </c>
      <c r="BA223" t="s">
        <v>74</v>
      </c>
      <c r="BB223">
        <v>271</v>
      </c>
      <c r="BC223">
        <v>279</v>
      </c>
      <c r="BD223" t="s">
        <v>74</v>
      </c>
      <c r="BE223" t="s">
        <v>3316</v>
      </c>
      <c r="BF223" t="str">
        <f>HYPERLINK("http://dx.doi.org/10.1017/S0954102001000384","http://dx.doi.org/10.1017/S0954102001000384")</f>
        <v>http://dx.doi.org/10.1017/S0954102001000384</v>
      </c>
      <c r="BG223" t="s">
        <v>74</v>
      </c>
      <c r="BH223" t="s">
        <v>74</v>
      </c>
      <c r="BI223">
        <v>9</v>
      </c>
      <c r="BJ223" t="s">
        <v>3249</v>
      </c>
      <c r="BK223" t="s">
        <v>88</v>
      </c>
      <c r="BL223" t="s">
        <v>3250</v>
      </c>
      <c r="BM223" t="s">
        <v>3251</v>
      </c>
      <c r="BN223" t="s">
        <v>74</v>
      </c>
      <c r="BO223" t="s">
        <v>74</v>
      </c>
      <c r="BP223" t="s">
        <v>74</v>
      </c>
      <c r="BQ223" t="s">
        <v>74</v>
      </c>
      <c r="BR223" t="s">
        <v>91</v>
      </c>
      <c r="BS223" t="s">
        <v>3317</v>
      </c>
      <c r="BT223" t="str">
        <f>HYPERLINK("https%3A%2F%2Fwww.webofscience.com%2Fwos%2Fwoscc%2Ffull-record%2FWOS:000170952200007","View Full Record in Web of Science")</f>
        <v>View Full Record in Web of Science</v>
      </c>
    </row>
    <row r="224" spans="1:72" x14ac:dyDescent="0.15">
      <c r="A224" t="s">
        <v>72</v>
      </c>
      <c r="B224" t="s">
        <v>3318</v>
      </c>
      <c r="C224" t="s">
        <v>74</v>
      </c>
      <c r="D224" t="s">
        <v>74</v>
      </c>
      <c r="E224" t="s">
        <v>74</v>
      </c>
      <c r="F224" t="s">
        <v>3318</v>
      </c>
      <c r="G224" t="s">
        <v>74</v>
      </c>
      <c r="H224" t="s">
        <v>74</v>
      </c>
      <c r="I224" t="s">
        <v>3319</v>
      </c>
      <c r="J224" t="s">
        <v>3241</v>
      </c>
      <c r="K224" t="s">
        <v>74</v>
      </c>
      <c r="L224" t="s">
        <v>74</v>
      </c>
      <c r="M224" t="s">
        <v>77</v>
      </c>
      <c r="N224" t="s">
        <v>120</v>
      </c>
      <c r="O224" t="s">
        <v>74</v>
      </c>
      <c r="P224" t="s">
        <v>74</v>
      </c>
      <c r="Q224" t="s">
        <v>74</v>
      </c>
      <c r="R224" t="s">
        <v>74</v>
      </c>
      <c r="S224" t="s">
        <v>74</v>
      </c>
      <c r="T224" t="s">
        <v>3320</v>
      </c>
      <c r="U224" t="s">
        <v>3321</v>
      </c>
      <c r="V224" t="s">
        <v>3322</v>
      </c>
      <c r="W224" t="s">
        <v>3323</v>
      </c>
      <c r="X224" t="s">
        <v>3324</v>
      </c>
      <c r="Y224" t="s">
        <v>3325</v>
      </c>
      <c r="Z224" t="s">
        <v>74</v>
      </c>
      <c r="AA224" t="s">
        <v>74</v>
      </c>
      <c r="AB224" t="s">
        <v>74</v>
      </c>
      <c r="AC224" t="s">
        <v>74</v>
      </c>
      <c r="AD224" t="s">
        <v>74</v>
      </c>
      <c r="AE224" t="s">
        <v>74</v>
      </c>
      <c r="AF224" t="s">
        <v>74</v>
      </c>
      <c r="AG224">
        <v>28</v>
      </c>
      <c r="AH224">
        <v>39</v>
      </c>
      <c r="AI224">
        <v>41</v>
      </c>
      <c r="AJ224">
        <v>0</v>
      </c>
      <c r="AK224">
        <v>14</v>
      </c>
      <c r="AL224" t="s">
        <v>1293</v>
      </c>
      <c r="AM224" t="s">
        <v>3243</v>
      </c>
      <c r="AN224" t="s">
        <v>3244</v>
      </c>
      <c r="AO224" t="s">
        <v>3245</v>
      </c>
      <c r="AP224" t="s">
        <v>74</v>
      </c>
      <c r="AQ224" t="s">
        <v>74</v>
      </c>
      <c r="AR224" t="s">
        <v>3246</v>
      </c>
      <c r="AS224" t="s">
        <v>3247</v>
      </c>
      <c r="AT224" t="s">
        <v>3219</v>
      </c>
      <c r="AU224">
        <v>2001</v>
      </c>
      <c r="AV224">
        <v>13</v>
      </c>
      <c r="AW224">
        <v>3</v>
      </c>
      <c r="AX224" t="s">
        <v>74</v>
      </c>
      <c r="AY224" t="s">
        <v>74</v>
      </c>
      <c r="AZ224" t="s">
        <v>74</v>
      </c>
      <c r="BA224" t="s">
        <v>74</v>
      </c>
      <c r="BB224">
        <v>280</v>
      </c>
      <c r="BC224">
        <v>285</v>
      </c>
      <c r="BD224" t="s">
        <v>74</v>
      </c>
      <c r="BE224" t="s">
        <v>3326</v>
      </c>
      <c r="BF224" t="str">
        <f>HYPERLINK("http://dx.doi.org/10.1017/S0954102001000396","http://dx.doi.org/10.1017/S0954102001000396")</f>
        <v>http://dx.doi.org/10.1017/S0954102001000396</v>
      </c>
      <c r="BG224" t="s">
        <v>74</v>
      </c>
      <c r="BH224" t="s">
        <v>74</v>
      </c>
      <c r="BI224">
        <v>6</v>
      </c>
      <c r="BJ224" t="s">
        <v>3249</v>
      </c>
      <c r="BK224" t="s">
        <v>88</v>
      </c>
      <c r="BL224" t="s">
        <v>3250</v>
      </c>
      <c r="BM224" t="s">
        <v>3251</v>
      </c>
      <c r="BN224" t="s">
        <v>74</v>
      </c>
      <c r="BO224" t="s">
        <v>74</v>
      </c>
      <c r="BP224" t="s">
        <v>74</v>
      </c>
      <c r="BQ224" t="s">
        <v>74</v>
      </c>
      <c r="BR224" t="s">
        <v>91</v>
      </c>
      <c r="BS224" t="s">
        <v>3327</v>
      </c>
      <c r="BT224" t="str">
        <f>HYPERLINK("https%3A%2F%2Fwww.webofscience.com%2Fwos%2Fwoscc%2Ffull-record%2FWOS:000170952200008","View Full Record in Web of Science")</f>
        <v>View Full Record in Web of Science</v>
      </c>
    </row>
    <row r="225" spans="1:72" x14ac:dyDescent="0.15">
      <c r="A225" t="s">
        <v>72</v>
      </c>
      <c r="B225" t="s">
        <v>3328</v>
      </c>
      <c r="C225" t="s">
        <v>74</v>
      </c>
      <c r="D225" t="s">
        <v>74</v>
      </c>
      <c r="E225" t="s">
        <v>74</v>
      </c>
      <c r="F225" t="s">
        <v>3328</v>
      </c>
      <c r="G225" t="s">
        <v>74</v>
      </c>
      <c r="H225" t="s">
        <v>74</v>
      </c>
      <c r="I225" t="s">
        <v>3329</v>
      </c>
      <c r="J225" t="s">
        <v>3241</v>
      </c>
      <c r="K225" t="s">
        <v>74</v>
      </c>
      <c r="L225" t="s">
        <v>74</v>
      </c>
      <c r="M225" t="s">
        <v>77</v>
      </c>
      <c r="N225" t="s">
        <v>120</v>
      </c>
      <c r="O225" t="s">
        <v>74</v>
      </c>
      <c r="P225" t="s">
        <v>74</v>
      </c>
      <c r="Q225" t="s">
        <v>74</v>
      </c>
      <c r="R225" t="s">
        <v>74</v>
      </c>
      <c r="S225" t="s">
        <v>74</v>
      </c>
      <c r="T225" t="s">
        <v>74</v>
      </c>
      <c r="U225" t="s">
        <v>3330</v>
      </c>
      <c r="V225" t="s">
        <v>74</v>
      </c>
      <c r="W225" t="s">
        <v>461</v>
      </c>
      <c r="X225" t="s">
        <v>462</v>
      </c>
      <c r="Y225" t="s">
        <v>3331</v>
      </c>
      <c r="Z225" t="s">
        <v>74</v>
      </c>
      <c r="AA225" t="s">
        <v>74</v>
      </c>
      <c r="AB225" t="s">
        <v>74</v>
      </c>
      <c r="AC225" t="s">
        <v>74</v>
      </c>
      <c r="AD225" t="s">
        <v>74</v>
      </c>
      <c r="AE225" t="s">
        <v>74</v>
      </c>
      <c r="AF225" t="s">
        <v>74</v>
      </c>
      <c r="AG225">
        <v>14</v>
      </c>
      <c r="AH225">
        <v>0</v>
      </c>
      <c r="AI225">
        <v>0</v>
      </c>
      <c r="AJ225">
        <v>0</v>
      </c>
      <c r="AK225">
        <v>5</v>
      </c>
      <c r="AL225" t="s">
        <v>1293</v>
      </c>
      <c r="AM225" t="s">
        <v>3243</v>
      </c>
      <c r="AN225" t="s">
        <v>3244</v>
      </c>
      <c r="AO225" t="s">
        <v>3245</v>
      </c>
      <c r="AP225" t="s">
        <v>74</v>
      </c>
      <c r="AQ225" t="s">
        <v>74</v>
      </c>
      <c r="AR225" t="s">
        <v>3246</v>
      </c>
      <c r="AS225" t="s">
        <v>3247</v>
      </c>
      <c r="AT225" t="s">
        <v>3219</v>
      </c>
      <c r="AU225">
        <v>2001</v>
      </c>
      <c r="AV225">
        <v>13</v>
      </c>
      <c r="AW225">
        <v>3</v>
      </c>
      <c r="AX225" t="s">
        <v>74</v>
      </c>
      <c r="AY225" t="s">
        <v>74</v>
      </c>
      <c r="AZ225" t="s">
        <v>74</v>
      </c>
      <c r="BA225" t="s">
        <v>74</v>
      </c>
      <c r="BB225">
        <v>286</v>
      </c>
      <c r="BC225">
        <v>287</v>
      </c>
      <c r="BD225" t="s">
        <v>74</v>
      </c>
      <c r="BE225" t="s">
        <v>3332</v>
      </c>
      <c r="BF225" t="str">
        <f>HYPERLINK("http://dx.doi.org/10.1017/S0954102001000402","http://dx.doi.org/10.1017/S0954102001000402")</f>
        <v>http://dx.doi.org/10.1017/S0954102001000402</v>
      </c>
      <c r="BG225" t="s">
        <v>74</v>
      </c>
      <c r="BH225" t="s">
        <v>74</v>
      </c>
      <c r="BI225">
        <v>2</v>
      </c>
      <c r="BJ225" t="s">
        <v>3249</v>
      </c>
      <c r="BK225" t="s">
        <v>88</v>
      </c>
      <c r="BL225" t="s">
        <v>3250</v>
      </c>
      <c r="BM225" t="s">
        <v>3251</v>
      </c>
      <c r="BN225" t="s">
        <v>74</v>
      </c>
      <c r="BO225" t="s">
        <v>74</v>
      </c>
      <c r="BP225" t="s">
        <v>74</v>
      </c>
      <c r="BQ225" t="s">
        <v>74</v>
      </c>
      <c r="BR225" t="s">
        <v>91</v>
      </c>
      <c r="BS225" t="s">
        <v>3333</v>
      </c>
      <c r="BT225" t="str">
        <f>HYPERLINK("https%3A%2F%2Fwww.webofscience.com%2Fwos%2Fwoscc%2Ffull-record%2FWOS:000170952200009","View Full Record in Web of Science")</f>
        <v>View Full Record in Web of Science</v>
      </c>
    </row>
    <row r="226" spans="1:72" x14ac:dyDescent="0.15">
      <c r="A226" t="s">
        <v>72</v>
      </c>
      <c r="B226" t="s">
        <v>3334</v>
      </c>
      <c r="C226" t="s">
        <v>74</v>
      </c>
      <c r="D226" t="s">
        <v>74</v>
      </c>
      <c r="E226" t="s">
        <v>74</v>
      </c>
      <c r="F226" t="s">
        <v>3334</v>
      </c>
      <c r="G226" t="s">
        <v>74</v>
      </c>
      <c r="H226" t="s">
        <v>74</v>
      </c>
      <c r="I226" t="s">
        <v>3335</v>
      </c>
      <c r="J226" t="s">
        <v>3241</v>
      </c>
      <c r="K226" t="s">
        <v>74</v>
      </c>
      <c r="L226" t="s">
        <v>74</v>
      </c>
      <c r="M226" t="s">
        <v>77</v>
      </c>
      <c r="N226" t="s">
        <v>120</v>
      </c>
      <c r="O226" t="s">
        <v>74</v>
      </c>
      <c r="P226" t="s">
        <v>74</v>
      </c>
      <c r="Q226" t="s">
        <v>74</v>
      </c>
      <c r="R226" t="s">
        <v>74</v>
      </c>
      <c r="S226" t="s">
        <v>74</v>
      </c>
      <c r="T226" t="s">
        <v>3336</v>
      </c>
      <c r="U226" t="s">
        <v>3337</v>
      </c>
      <c r="V226" t="s">
        <v>3338</v>
      </c>
      <c r="W226" t="s">
        <v>3339</v>
      </c>
      <c r="X226" t="s">
        <v>3340</v>
      </c>
      <c r="Y226" t="s">
        <v>3341</v>
      </c>
      <c r="Z226" t="s">
        <v>74</v>
      </c>
      <c r="AA226" t="s">
        <v>74</v>
      </c>
      <c r="AB226" t="s">
        <v>74</v>
      </c>
      <c r="AC226" t="s">
        <v>74</v>
      </c>
      <c r="AD226" t="s">
        <v>74</v>
      </c>
      <c r="AE226" t="s">
        <v>74</v>
      </c>
      <c r="AF226" t="s">
        <v>74</v>
      </c>
      <c r="AG226">
        <v>41</v>
      </c>
      <c r="AH226">
        <v>45</v>
      </c>
      <c r="AI226">
        <v>54</v>
      </c>
      <c r="AJ226">
        <v>0</v>
      </c>
      <c r="AK226">
        <v>15</v>
      </c>
      <c r="AL226" t="s">
        <v>1293</v>
      </c>
      <c r="AM226" t="s">
        <v>3243</v>
      </c>
      <c r="AN226" t="s">
        <v>3244</v>
      </c>
      <c r="AO226" t="s">
        <v>3245</v>
      </c>
      <c r="AP226" t="s">
        <v>74</v>
      </c>
      <c r="AQ226" t="s">
        <v>74</v>
      </c>
      <c r="AR226" t="s">
        <v>3246</v>
      </c>
      <c r="AS226" t="s">
        <v>3247</v>
      </c>
      <c r="AT226" t="s">
        <v>3219</v>
      </c>
      <c r="AU226">
        <v>2001</v>
      </c>
      <c r="AV226">
        <v>13</v>
      </c>
      <c r="AW226">
        <v>3</v>
      </c>
      <c r="AX226" t="s">
        <v>74</v>
      </c>
      <c r="AY226" t="s">
        <v>74</v>
      </c>
      <c r="AZ226" t="s">
        <v>74</v>
      </c>
      <c r="BA226" t="s">
        <v>74</v>
      </c>
      <c r="BB226">
        <v>289</v>
      </c>
      <c r="BC226">
        <v>295</v>
      </c>
      <c r="BD226" t="s">
        <v>74</v>
      </c>
      <c r="BE226" t="s">
        <v>3342</v>
      </c>
      <c r="BF226" t="str">
        <f>HYPERLINK("http://dx.doi.org/10.1017/S0954102001000414","http://dx.doi.org/10.1017/S0954102001000414")</f>
        <v>http://dx.doi.org/10.1017/S0954102001000414</v>
      </c>
      <c r="BG226" t="s">
        <v>74</v>
      </c>
      <c r="BH226" t="s">
        <v>74</v>
      </c>
      <c r="BI226">
        <v>7</v>
      </c>
      <c r="BJ226" t="s">
        <v>3249</v>
      </c>
      <c r="BK226" t="s">
        <v>88</v>
      </c>
      <c r="BL226" t="s">
        <v>3250</v>
      </c>
      <c r="BM226" t="s">
        <v>3251</v>
      </c>
      <c r="BN226" t="s">
        <v>74</v>
      </c>
      <c r="BO226" t="s">
        <v>74</v>
      </c>
      <c r="BP226" t="s">
        <v>74</v>
      </c>
      <c r="BQ226" t="s">
        <v>74</v>
      </c>
      <c r="BR226" t="s">
        <v>91</v>
      </c>
      <c r="BS226" t="s">
        <v>3343</v>
      </c>
      <c r="BT226" t="str">
        <f>HYPERLINK("https%3A%2F%2Fwww.webofscience.com%2Fwos%2Fwoscc%2Ffull-record%2FWOS:000170952200010","View Full Record in Web of Science")</f>
        <v>View Full Record in Web of Science</v>
      </c>
    </row>
    <row r="227" spans="1:72" x14ac:dyDescent="0.15">
      <c r="A227" t="s">
        <v>72</v>
      </c>
      <c r="B227" t="s">
        <v>3344</v>
      </c>
      <c r="C227" t="s">
        <v>74</v>
      </c>
      <c r="D227" t="s">
        <v>74</v>
      </c>
      <c r="E227" t="s">
        <v>74</v>
      </c>
      <c r="F227" t="s">
        <v>3344</v>
      </c>
      <c r="G227" t="s">
        <v>74</v>
      </c>
      <c r="H227" t="s">
        <v>74</v>
      </c>
      <c r="I227" t="s">
        <v>3345</v>
      </c>
      <c r="J227" t="s">
        <v>3241</v>
      </c>
      <c r="K227" t="s">
        <v>74</v>
      </c>
      <c r="L227" t="s">
        <v>74</v>
      </c>
      <c r="M227" t="s">
        <v>77</v>
      </c>
      <c r="N227" t="s">
        <v>120</v>
      </c>
      <c r="O227" t="s">
        <v>74</v>
      </c>
      <c r="P227" t="s">
        <v>74</v>
      </c>
      <c r="Q227" t="s">
        <v>74</v>
      </c>
      <c r="R227" t="s">
        <v>74</v>
      </c>
      <c r="S227" t="s">
        <v>74</v>
      </c>
      <c r="T227" t="s">
        <v>3346</v>
      </c>
      <c r="U227" t="s">
        <v>3347</v>
      </c>
      <c r="V227" t="s">
        <v>3348</v>
      </c>
      <c r="W227" t="s">
        <v>3349</v>
      </c>
      <c r="X227" t="s">
        <v>3350</v>
      </c>
      <c r="Y227" t="s">
        <v>3351</v>
      </c>
      <c r="Z227" t="s">
        <v>74</v>
      </c>
      <c r="AA227" t="s">
        <v>3352</v>
      </c>
      <c r="AB227" t="s">
        <v>3353</v>
      </c>
      <c r="AC227" t="s">
        <v>74</v>
      </c>
      <c r="AD227" t="s">
        <v>74</v>
      </c>
      <c r="AE227" t="s">
        <v>74</v>
      </c>
      <c r="AF227" t="s">
        <v>74</v>
      </c>
      <c r="AG227">
        <v>26</v>
      </c>
      <c r="AH227">
        <v>23</v>
      </c>
      <c r="AI227">
        <v>26</v>
      </c>
      <c r="AJ227">
        <v>2</v>
      </c>
      <c r="AK227">
        <v>6</v>
      </c>
      <c r="AL227" t="s">
        <v>1293</v>
      </c>
      <c r="AM227" t="s">
        <v>3243</v>
      </c>
      <c r="AN227" t="s">
        <v>3244</v>
      </c>
      <c r="AO227" t="s">
        <v>3245</v>
      </c>
      <c r="AP227" t="s">
        <v>74</v>
      </c>
      <c r="AQ227" t="s">
        <v>74</v>
      </c>
      <c r="AR227" t="s">
        <v>3246</v>
      </c>
      <c r="AS227" t="s">
        <v>3247</v>
      </c>
      <c r="AT227" t="s">
        <v>3219</v>
      </c>
      <c r="AU227">
        <v>2001</v>
      </c>
      <c r="AV227">
        <v>13</v>
      </c>
      <c r="AW227">
        <v>3</v>
      </c>
      <c r="AX227" t="s">
        <v>74</v>
      </c>
      <c r="AY227" t="s">
        <v>74</v>
      </c>
      <c r="AZ227" t="s">
        <v>74</v>
      </c>
      <c r="BA227" t="s">
        <v>74</v>
      </c>
      <c r="BB227">
        <v>296</v>
      </c>
      <c r="BC227">
        <v>301</v>
      </c>
      <c r="BD227" t="s">
        <v>74</v>
      </c>
      <c r="BE227" t="s">
        <v>3354</v>
      </c>
      <c r="BF227" t="str">
        <f>HYPERLINK("http://dx.doi.org/10.1017/S0954102001000426","http://dx.doi.org/10.1017/S0954102001000426")</f>
        <v>http://dx.doi.org/10.1017/S0954102001000426</v>
      </c>
      <c r="BG227" t="s">
        <v>74</v>
      </c>
      <c r="BH227" t="s">
        <v>74</v>
      </c>
      <c r="BI227">
        <v>6</v>
      </c>
      <c r="BJ227" t="s">
        <v>3249</v>
      </c>
      <c r="BK227" t="s">
        <v>88</v>
      </c>
      <c r="BL227" t="s">
        <v>3250</v>
      </c>
      <c r="BM227" t="s">
        <v>3251</v>
      </c>
      <c r="BN227" t="s">
        <v>74</v>
      </c>
      <c r="BO227" t="s">
        <v>74</v>
      </c>
      <c r="BP227" t="s">
        <v>74</v>
      </c>
      <c r="BQ227" t="s">
        <v>74</v>
      </c>
      <c r="BR227" t="s">
        <v>91</v>
      </c>
      <c r="BS227" t="s">
        <v>3355</v>
      </c>
      <c r="BT227" t="str">
        <f>HYPERLINK("https%3A%2F%2Fwww.webofscience.com%2Fwos%2Fwoscc%2Ffull-record%2FWOS:000170952200011","View Full Record in Web of Science")</f>
        <v>View Full Record in Web of Science</v>
      </c>
    </row>
    <row r="228" spans="1:72" x14ac:dyDescent="0.15">
      <c r="A228" t="s">
        <v>72</v>
      </c>
      <c r="B228" t="s">
        <v>3356</v>
      </c>
      <c r="C228" t="s">
        <v>74</v>
      </c>
      <c r="D228" t="s">
        <v>74</v>
      </c>
      <c r="E228" t="s">
        <v>74</v>
      </c>
      <c r="F228" t="s">
        <v>3356</v>
      </c>
      <c r="G228" t="s">
        <v>74</v>
      </c>
      <c r="H228" t="s">
        <v>74</v>
      </c>
      <c r="I228" t="s">
        <v>3357</v>
      </c>
      <c r="J228" t="s">
        <v>3241</v>
      </c>
      <c r="K228" t="s">
        <v>74</v>
      </c>
      <c r="L228" t="s">
        <v>74</v>
      </c>
      <c r="M228" t="s">
        <v>77</v>
      </c>
      <c r="N228" t="s">
        <v>120</v>
      </c>
      <c r="O228" t="s">
        <v>74</v>
      </c>
      <c r="P228" t="s">
        <v>74</v>
      </c>
      <c r="Q228" t="s">
        <v>74</v>
      </c>
      <c r="R228" t="s">
        <v>74</v>
      </c>
      <c r="S228" t="s">
        <v>74</v>
      </c>
      <c r="T228" t="s">
        <v>3358</v>
      </c>
      <c r="U228" t="s">
        <v>3359</v>
      </c>
      <c r="V228" t="s">
        <v>3360</v>
      </c>
      <c r="W228" t="s">
        <v>3361</v>
      </c>
      <c r="X228" t="s">
        <v>3362</v>
      </c>
      <c r="Y228" t="s">
        <v>74</v>
      </c>
      <c r="Z228" t="s">
        <v>3363</v>
      </c>
      <c r="AA228" t="s">
        <v>3364</v>
      </c>
      <c r="AB228" t="s">
        <v>74</v>
      </c>
      <c r="AC228" t="s">
        <v>74</v>
      </c>
      <c r="AD228" t="s">
        <v>74</v>
      </c>
      <c r="AE228" t="s">
        <v>74</v>
      </c>
      <c r="AF228" t="s">
        <v>74</v>
      </c>
      <c r="AG228">
        <v>47</v>
      </c>
      <c r="AH228">
        <v>27</v>
      </c>
      <c r="AI228">
        <v>27</v>
      </c>
      <c r="AJ228">
        <v>0</v>
      </c>
      <c r="AK228">
        <v>3</v>
      </c>
      <c r="AL228" t="s">
        <v>1293</v>
      </c>
      <c r="AM228" t="s">
        <v>204</v>
      </c>
      <c r="AN228" t="s">
        <v>1699</v>
      </c>
      <c r="AO228" t="s">
        <v>3245</v>
      </c>
      <c r="AP228" t="s">
        <v>3315</v>
      </c>
      <c r="AQ228" t="s">
        <v>74</v>
      </c>
      <c r="AR228" t="s">
        <v>3246</v>
      </c>
      <c r="AS228" t="s">
        <v>3247</v>
      </c>
      <c r="AT228" t="s">
        <v>3219</v>
      </c>
      <c r="AU228">
        <v>2001</v>
      </c>
      <c r="AV228">
        <v>13</v>
      </c>
      <c r="AW228">
        <v>3</v>
      </c>
      <c r="AX228" t="s">
        <v>74</v>
      </c>
      <c r="AY228" t="s">
        <v>74</v>
      </c>
      <c r="AZ228" t="s">
        <v>74</v>
      </c>
      <c r="BA228" t="s">
        <v>74</v>
      </c>
      <c r="BB228">
        <v>302</v>
      </c>
      <c r="BC228">
        <v>311</v>
      </c>
      <c r="BD228" t="s">
        <v>74</v>
      </c>
      <c r="BE228" t="s">
        <v>3365</v>
      </c>
      <c r="BF228" t="str">
        <f>HYPERLINK("http://dx.doi.org/10.1017/S0954102001000438","http://dx.doi.org/10.1017/S0954102001000438")</f>
        <v>http://dx.doi.org/10.1017/S0954102001000438</v>
      </c>
      <c r="BG228" t="s">
        <v>74</v>
      </c>
      <c r="BH228" t="s">
        <v>74</v>
      </c>
      <c r="BI228">
        <v>10</v>
      </c>
      <c r="BJ228" t="s">
        <v>3249</v>
      </c>
      <c r="BK228" t="s">
        <v>88</v>
      </c>
      <c r="BL228" t="s">
        <v>3250</v>
      </c>
      <c r="BM228" t="s">
        <v>3251</v>
      </c>
      <c r="BN228" t="s">
        <v>74</v>
      </c>
      <c r="BO228" t="s">
        <v>74</v>
      </c>
      <c r="BP228" t="s">
        <v>74</v>
      </c>
      <c r="BQ228" t="s">
        <v>74</v>
      </c>
      <c r="BR228" t="s">
        <v>91</v>
      </c>
      <c r="BS228" t="s">
        <v>3366</v>
      </c>
      <c r="BT228" t="str">
        <f>HYPERLINK("https%3A%2F%2Fwww.webofscience.com%2Fwos%2Fwoscc%2Ffull-record%2FWOS:000170952200012","View Full Record in Web of Science")</f>
        <v>View Full Record in Web of Science</v>
      </c>
    </row>
    <row r="229" spans="1:72" x14ac:dyDescent="0.15">
      <c r="A229" t="s">
        <v>72</v>
      </c>
      <c r="B229" t="s">
        <v>3367</v>
      </c>
      <c r="C229" t="s">
        <v>74</v>
      </c>
      <c r="D229" t="s">
        <v>74</v>
      </c>
      <c r="E229" t="s">
        <v>74</v>
      </c>
      <c r="F229" t="s">
        <v>3367</v>
      </c>
      <c r="G229" t="s">
        <v>74</v>
      </c>
      <c r="H229" t="s">
        <v>74</v>
      </c>
      <c r="I229" t="s">
        <v>3368</v>
      </c>
      <c r="J229" t="s">
        <v>3241</v>
      </c>
      <c r="K229" t="s">
        <v>74</v>
      </c>
      <c r="L229" t="s">
        <v>74</v>
      </c>
      <c r="M229" t="s">
        <v>77</v>
      </c>
      <c r="N229" t="s">
        <v>120</v>
      </c>
      <c r="O229" t="s">
        <v>74</v>
      </c>
      <c r="P229" t="s">
        <v>74</v>
      </c>
      <c r="Q229" t="s">
        <v>74</v>
      </c>
      <c r="R229" t="s">
        <v>74</v>
      </c>
      <c r="S229" t="s">
        <v>74</v>
      </c>
      <c r="T229" t="s">
        <v>3369</v>
      </c>
      <c r="U229" t="s">
        <v>3370</v>
      </c>
      <c r="V229" t="s">
        <v>3371</v>
      </c>
      <c r="W229" t="s">
        <v>3372</v>
      </c>
      <c r="X229" t="s">
        <v>3373</v>
      </c>
      <c r="Y229" t="s">
        <v>3374</v>
      </c>
      <c r="Z229" t="s">
        <v>74</v>
      </c>
      <c r="AA229" t="s">
        <v>3375</v>
      </c>
      <c r="AB229" t="s">
        <v>74</v>
      </c>
      <c r="AC229" t="s">
        <v>74</v>
      </c>
      <c r="AD229" t="s">
        <v>74</v>
      </c>
      <c r="AE229" t="s">
        <v>74</v>
      </c>
      <c r="AF229" t="s">
        <v>74</v>
      </c>
      <c r="AG229">
        <v>25</v>
      </c>
      <c r="AH229">
        <v>35</v>
      </c>
      <c r="AI229">
        <v>38</v>
      </c>
      <c r="AJ229">
        <v>1</v>
      </c>
      <c r="AK229">
        <v>3</v>
      </c>
      <c r="AL229" t="s">
        <v>1293</v>
      </c>
      <c r="AM229" t="s">
        <v>204</v>
      </c>
      <c r="AN229" t="s">
        <v>1699</v>
      </c>
      <c r="AO229" t="s">
        <v>3245</v>
      </c>
      <c r="AP229" t="s">
        <v>3315</v>
      </c>
      <c r="AQ229" t="s">
        <v>74</v>
      </c>
      <c r="AR229" t="s">
        <v>3246</v>
      </c>
      <c r="AS229" t="s">
        <v>3247</v>
      </c>
      <c r="AT229" t="s">
        <v>3219</v>
      </c>
      <c r="AU229">
        <v>2001</v>
      </c>
      <c r="AV229">
        <v>13</v>
      </c>
      <c r="AW229">
        <v>3</v>
      </c>
      <c r="AX229" t="s">
        <v>74</v>
      </c>
      <c r="AY229" t="s">
        <v>74</v>
      </c>
      <c r="AZ229" t="s">
        <v>74</v>
      </c>
      <c r="BA229" t="s">
        <v>74</v>
      </c>
      <c r="BB229">
        <v>312</v>
      </c>
      <c r="BC229">
        <v>322</v>
      </c>
      <c r="BD229" t="s">
        <v>74</v>
      </c>
      <c r="BE229" t="s">
        <v>3376</v>
      </c>
      <c r="BF229" t="str">
        <f>HYPERLINK("http://dx.doi.org/10.1017/S095410200100044X","http://dx.doi.org/10.1017/S095410200100044X")</f>
        <v>http://dx.doi.org/10.1017/S095410200100044X</v>
      </c>
      <c r="BG229" t="s">
        <v>74</v>
      </c>
      <c r="BH229" t="s">
        <v>74</v>
      </c>
      <c r="BI229">
        <v>11</v>
      </c>
      <c r="BJ229" t="s">
        <v>3249</v>
      </c>
      <c r="BK229" t="s">
        <v>88</v>
      </c>
      <c r="BL229" t="s">
        <v>3250</v>
      </c>
      <c r="BM229" t="s">
        <v>3251</v>
      </c>
      <c r="BN229" t="s">
        <v>74</v>
      </c>
      <c r="BO229" t="s">
        <v>74</v>
      </c>
      <c r="BP229" t="s">
        <v>74</v>
      </c>
      <c r="BQ229" t="s">
        <v>74</v>
      </c>
      <c r="BR229" t="s">
        <v>91</v>
      </c>
      <c r="BS229" t="s">
        <v>3377</v>
      </c>
      <c r="BT229" t="str">
        <f>HYPERLINK("https%3A%2F%2Fwww.webofscience.com%2Fwos%2Fwoscc%2Ffull-record%2FWOS:000170952200013","View Full Record in Web of Science")</f>
        <v>View Full Record in Web of Science</v>
      </c>
    </row>
    <row r="230" spans="1:72" x14ac:dyDescent="0.15">
      <c r="A230" t="s">
        <v>72</v>
      </c>
      <c r="B230" t="s">
        <v>3378</v>
      </c>
      <c r="C230" t="s">
        <v>74</v>
      </c>
      <c r="D230" t="s">
        <v>74</v>
      </c>
      <c r="E230" t="s">
        <v>74</v>
      </c>
      <c r="F230" t="s">
        <v>3378</v>
      </c>
      <c r="G230" t="s">
        <v>74</v>
      </c>
      <c r="H230" t="s">
        <v>74</v>
      </c>
      <c r="I230" t="s">
        <v>3379</v>
      </c>
      <c r="J230" t="s">
        <v>3241</v>
      </c>
      <c r="K230" t="s">
        <v>74</v>
      </c>
      <c r="L230" t="s">
        <v>74</v>
      </c>
      <c r="M230" t="s">
        <v>77</v>
      </c>
      <c r="N230" t="s">
        <v>120</v>
      </c>
      <c r="O230" t="s">
        <v>74</v>
      </c>
      <c r="P230" t="s">
        <v>74</v>
      </c>
      <c r="Q230" t="s">
        <v>74</v>
      </c>
      <c r="R230" t="s">
        <v>74</v>
      </c>
      <c r="S230" t="s">
        <v>74</v>
      </c>
      <c r="T230" t="s">
        <v>3380</v>
      </c>
      <c r="U230" t="s">
        <v>3381</v>
      </c>
      <c r="V230" t="s">
        <v>3382</v>
      </c>
      <c r="W230" t="s">
        <v>3383</v>
      </c>
      <c r="X230" t="s">
        <v>3384</v>
      </c>
      <c r="Y230" t="s">
        <v>3385</v>
      </c>
      <c r="Z230" t="s">
        <v>74</v>
      </c>
      <c r="AA230" t="s">
        <v>74</v>
      </c>
      <c r="AB230" t="s">
        <v>74</v>
      </c>
      <c r="AC230" t="s">
        <v>74</v>
      </c>
      <c r="AD230" t="s">
        <v>74</v>
      </c>
      <c r="AE230" t="s">
        <v>74</v>
      </c>
      <c r="AF230" t="s">
        <v>74</v>
      </c>
      <c r="AG230">
        <v>25</v>
      </c>
      <c r="AH230">
        <v>4</v>
      </c>
      <c r="AI230">
        <v>7</v>
      </c>
      <c r="AJ230">
        <v>0</v>
      </c>
      <c r="AK230">
        <v>3</v>
      </c>
      <c r="AL230" t="s">
        <v>1293</v>
      </c>
      <c r="AM230" t="s">
        <v>204</v>
      </c>
      <c r="AN230" t="s">
        <v>1699</v>
      </c>
      <c r="AO230" t="s">
        <v>3245</v>
      </c>
      <c r="AP230" t="s">
        <v>3315</v>
      </c>
      <c r="AQ230" t="s">
        <v>74</v>
      </c>
      <c r="AR230" t="s">
        <v>3246</v>
      </c>
      <c r="AS230" t="s">
        <v>3247</v>
      </c>
      <c r="AT230" t="s">
        <v>3219</v>
      </c>
      <c r="AU230">
        <v>2001</v>
      </c>
      <c r="AV230">
        <v>13</v>
      </c>
      <c r="AW230">
        <v>3</v>
      </c>
      <c r="AX230" t="s">
        <v>74</v>
      </c>
      <c r="AY230" t="s">
        <v>74</v>
      </c>
      <c r="AZ230" t="s">
        <v>74</v>
      </c>
      <c r="BA230" t="s">
        <v>74</v>
      </c>
      <c r="BB230">
        <v>323</v>
      </c>
      <c r="BC230">
        <v>328</v>
      </c>
      <c r="BD230" t="s">
        <v>74</v>
      </c>
      <c r="BE230" t="s">
        <v>74</v>
      </c>
      <c r="BF230" t="s">
        <v>74</v>
      </c>
      <c r="BG230" t="s">
        <v>74</v>
      </c>
      <c r="BH230" t="s">
        <v>74</v>
      </c>
      <c r="BI230">
        <v>6</v>
      </c>
      <c r="BJ230" t="s">
        <v>3249</v>
      </c>
      <c r="BK230" t="s">
        <v>88</v>
      </c>
      <c r="BL230" t="s">
        <v>3250</v>
      </c>
      <c r="BM230" t="s">
        <v>3251</v>
      </c>
      <c r="BN230" t="s">
        <v>74</v>
      </c>
      <c r="BO230" t="s">
        <v>74</v>
      </c>
      <c r="BP230" t="s">
        <v>74</v>
      </c>
      <c r="BQ230" t="s">
        <v>74</v>
      </c>
      <c r="BR230" t="s">
        <v>91</v>
      </c>
      <c r="BS230" t="s">
        <v>3386</v>
      </c>
      <c r="BT230" t="str">
        <f>HYPERLINK("https%3A%2F%2Fwww.webofscience.com%2Fwos%2Fwoscc%2Ffull-record%2FWOS:000170952200014","View Full Record in Web of Science")</f>
        <v>View Full Record in Web of Science</v>
      </c>
    </row>
    <row r="231" spans="1:72" x14ac:dyDescent="0.15">
      <c r="A231" t="s">
        <v>72</v>
      </c>
      <c r="B231" t="s">
        <v>3387</v>
      </c>
      <c r="C231" t="s">
        <v>74</v>
      </c>
      <c r="D231" t="s">
        <v>74</v>
      </c>
      <c r="E231" t="s">
        <v>74</v>
      </c>
      <c r="F231" t="s">
        <v>3387</v>
      </c>
      <c r="G231" t="s">
        <v>74</v>
      </c>
      <c r="H231" t="s">
        <v>74</v>
      </c>
      <c r="I231" t="s">
        <v>3388</v>
      </c>
      <c r="J231" t="s">
        <v>3241</v>
      </c>
      <c r="K231" t="s">
        <v>74</v>
      </c>
      <c r="L231" t="s">
        <v>74</v>
      </c>
      <c r="M231" t="s">
        <v>77</v>
      </c>
      <c r="N231" t="s">
        <v>120</v>
      </c>
      <c r="O231" t="s">
        <v>74</v>
      </c>
      <c r="P231" t="s">
        <v>74</v>
      </c>
      <c r="Q231" t="s">
        <v>74</v>
      </c>
      <c r="R231" t="s">
        <v>74</v>
      </c>
      <c r="S231" t="s">
        <v>74</v>
      </c>
      <c r="T231" t="s">
        <v>3389</v>
      </c>
      <c r="U231" t="s">
        <v>3390</v>
      </c>
      <c r="V231" t="s">
        <v>3391</v>
      </c>
      <c r="W231" t="s">
        <v>3392</v>
      </c>
      <c r="X231" t="s">
        <v>3393</v>
      </c>
      <c r="Y231" t="s">
        <v>3394</v>
      </c>
      <c r="Z231" t="s">
        <v>74</v>
      </c>
      <c r="AA231" t="s">
        <v>3395</v>
      </c>
      <c r="AB231" t="s">
        <v>3396</v>
      </c>
      <c r="AC231" t="s">
        <v>74</v>
      </c>
      <c r="AD231" t="s">
        <v>74</v>
      </c>
      <c r="AE231" t="s">
        <v>74</v>
      </c>
      <c r="AF231" t="s">
        <v>74</v>
      </c>
      <c r="AG231">
        <v>30</v>
      </c>
      <c r="AH231">
        <v>19</v>
      </c>
      <c r="AI231">
        <v>19</v>
      </c>
      <c r="AJ231">
        <v>0</v>
      </c>
      <c r="AK231">
        <v>6</v>
      </c>
      <c r="AL231" t="s">
        <v>1293</v>
      </c>
      <c r="AM231" t="s">
        <v>3243</v>
      </c>
      <c r="AN231" t="s">
        <v>3244</v>
      </c>
      <c r="AO231" t="s">
        <v>3245</v>
      </c>
      <c r="AP231" t="s">
        <v>74</v>
      </c>
      <c r="AQ231" t="s">
        <v>74</v>
      </c>
      <c r="AR231" t="s">
        <v>3246</v>
      </c>
      <c r="AS231" t="s">
        <v>3247</v>
      </c>
      <c r="AT231" t="s">
        <v>3219</v>
      </c>
      <c r="AU231">
        <v>2001</v>
      </c>
      <c r="AV231">
        <v>13</v>
      </c>
      <c r="AW231">
        <v>3</v>
      </c>
      <c r="AX231" t="s">
        <v>74</v>
      </c>
      <c r="AY231" t="s">
        <v>74</v>
      </c>
      <c r="AZ231" t="s">
        <v>74</v>
      </c>
      <c r="BA231" t="s">
        <v>74</v>
      </c>
      <c r="BB231">
        <v>329</v>
      </c>
      <c r="BC231">
        <v>337</v>
      </c>
      <c r="BD231" t="s">
        <v>74</v>
      </c>
      <c r="BE231" t="s">
        <v>3397</v>
      </c>
      <c r="BF231" t="str">
        <f>HYPERLINK("http://dx.doi.org/10.1017/S0954102001000463","http://dx.doi.org/10.1017/S0954102001000463")</f>
        <v>http://dx.doi.org/10.1017/S0954102001000463</v>
      </c>
      <c r="BG231" t="s">
        <v>74</v>
      </c>
      <c r="BH231" t="s">
        <v>74</v>
      </c>
      <c r="BI231">
        <v>9</v>
      </c>
      <c r="BJ231" t="s">
        <v>3249</v>
      </c>
      <c r="BK231" t="s">
        <v>88</v>
      </c>
      <c r="BL231" t="s">
        <v>3250</v>
      </c>
      <c r="BM231" t="s">
        <v>3251</v>
      </c>
      <c r="BN231" t="s">
        <v>74</v>
      </c>
      <c r="BO231" t="s">
        <v>171</v>
      </c>
      <c r="BP231" t="s">
        <v>74</v>
      </c>
      <c r="BQ231" t="s">
        <v>74</v>
      </c>
      <c r="BR231" t="s">
        <v>91</v>
      </c>
      <c r="BS231" t="s">
        <v>3398</v>
      </c>
      <c r="BT231" t="str">
        <f>HYPERLINK("https%3A%2F%2Fwww.webofscience.com%2Fwos%2Fwoscc%2Ffull-record%2FWOS:000170952200015","View Full Record in Web of Science")</f>
        <v>View Full Record in Web of Science</v>
      </c>
    </row>
    <row r="232" spans="1:72" x14ac:dyDescent="0.15">
      <c r="A232" t="s">
        <v>72</v>
      </c>
      <c r="B232" t="s">
        <v>3399</v>
      </c>
      <c r="C232" t="s">
        <v>74</v>
      </c>
      <c r="D232" t="s">
        <v>74</v>
      </c>
      <c r="E232" t="s">
        <v>74</v>
      </c>
      <c r="F232" t="s">
        <v>3399</v>
      </c>
      <c r="G232" t="s">
        <v>74</v>
      </c>
      <c r="H232" t="s">
        <v>74</v>
      </c>
      <c r="I232" t="s">
        <v>3400</v>
      </c>
      <c r="J232" t="s">
        <v>3241</v>
      </c>
      <c r="K232" t="s">
        <v>74</v>
      </c>
      <c r="L232" t="s">
        <v>74</v>
      </c>
      <c r="M232" t="s">
        <v>77</v>
      </c>
      <c r="N232" t="s">
        <v>120</v>
      </c>
      <c r="O232" t="s">
        <v>74</v>
      </c>
      <c r="P232" t="s">
        <v>74</v>
      </c>
      <c r="Q232" t="s">
        <v>74</v>
      </c>
      <c r="R232" t="s">
        <v>74</v>
      </c>
      <c r="S232" t="s">
        <v>74</v>
      </c>
      <c r="T232" t="s">
        <v>3401</v>
      </c>
      <c r="U232" t="s">
        <v>74</v>
      </c>
      <c r="V232" t="s">
        <v>3402</v>
      </c>
      <c r="W232" t="s">
        <v>3403</v>
      </c>
      <c r="X232" t="s">
        <v>3404</v>
      </c>
      <c r="Y232" t="s">
        <v>3374</v>
      </c>
      <c r="Z232" t="s">
        <v>74</v>
      </c>
      <c r="AA232" t="s">
        <v>74</v>
      </c>
      <c r="AB232" t="s">
        <v>1994</v>
      </c>
      <c r="AC232" t="s">
        <v>74</v>
      </c>
      <c r="AD232" t="s">
        <v>74</v>
      </c>
      <c r="AE232" t="s">
        <v>74</v>
      </c>
      <c r="AF232" t="s">
        <v>74</v>
      </c>
      <c r="AG232">
        <v>30</v>
      </c>
      <c r="AH232">
        <v>23</v>
      </c>
      <c r="AI232">
        <v>25</v>
      </c>
      <c r="AJ232">
        <v>1</v>
      </c>
      <c r="AK232">
        <v>5</v>
      </c>
      <c r="AL232" t="s">
        <v>1293</v>
      </c>
      <c r="AM232" t="s">
        <v>204</v>
      </c>
      <c r="AN232" t="s">
        <v>1699</v>
      </c>
      <c r="AO232" t="s">
        <v>3245</v>
      </c>
      <c r="AP232" t="s">
        <v>3315</v>
      </c>
      <c r="AQ232" t="s">
        <v>74</v>
      </c>
      <c r="AR232" t="s">
        <v>3246</v>
      </c>
      <c r="AS232" t="s">
        <v>3247</v>
      </c>
      <c r="AT232" t="s">
        <v>3219</v>
      </c>
      <c r="AU232">
        <v>2001</v>
      </c>
      <c r="AV232">
        <v>13</v>
      </c>
      <c r="AW232">
        <v>3</v>
      </c>
      <c r="AX232" t="s">
        <v>74</v>
      </c>
      <c r="AY232" t="s">
        <v>74</v>
      </c>
      <c r="AZ232" t="s">
        <v>74</v>
      </c>
      <c r="BA232" t="s">
        <v>74</v>
      </c>
      <c r="BB232">
        <v>339</v>
      </c>
      <c r="BC232">
        <v>348</v>
      </c>
      <c r="BD232" t="s">
        <v>74</v>
      </c>
      <c r="BE232" t="s">
        <v>3405</v>
      </c>
      <c r="BF232" t="str">
        <f>HYPERLINK("http://dx.doi.org/10.1017/S0954102001000475","http://dx.doi.org/10.1017/S0954102001000475")</f>
        <v>http://dx.doi.org/10.1017/S0954102001000475</v>
      </c>
      <c r="BG232" t="s">
        <v>74</v>
      </c>
      <c r="BH232" t="s">
        <v>74</v>
      </c>
      <c r="BI232">
        <v>10</v>
      </c>
      <c r="BJ232" t="s">
        <v>3249</v>
      </c>
      <c r="BK232" t="s">
        <v>88</v>
      </c>
      <c r="BL232" t="s">
        <v>3250</v>
      </c>
      <c r="BM232" t="s">
        <v>3251</v>
      </c>
      <c r="BN232" t="s">
        <v>74</v>
      </c>
      <c r="BO232" t="s">
        <v>74</v>
      </c>
      <c r="BP232" t="s">
        <v>74</v>
      </c>
      <c r="BQ232" t="s">
        <v>74</v>
      </c>
      <c r="BR232" t="s">
        <v>91</v>
      </c>
      <c r="BS232" t="s">
        <v>3406</v>
      </c>
      <c r="BT232" t="str">
        <f>HYPERLINK("https%3A%2F%2Fwww.webofscience.com%2Fwos%2Fwoscc%2Ffull-record%2FWOS:000170952200016","View Full Record in Web of Science")</f>
        <v>View Full Record in Web of Science</v>
      </c>
    </row>
    <row r="233" spans="1:72" x14ac:dyDescent="0.15">
      <c r="A233" t="s">
        <v>72</v>
      </c>
      <c r="B233" t="s">
        <v>3407</v>
      </c>
      <c r="C233" t="s">
        <v>74</v>
      </c>
      <c r="D233" t="s">
        <v>74</v>
      </c>
      <c r="E233" t="s">
        <v>74</v>
      </c>
      <c r="F233" t="s">
        <v>3407</v>
      </c>
      <c r="G233" t="s">
        <v>74</v>
      </c>
      <c r="H233" t="s">
        <v>74</v>
      </c>
      <c r="I233" t="s">
        <v>3408</v>
      </c>
      <c r="J233" t="s">
        <v>3409</v>
      </c>
      <c r="K233" t="s">
        <v>74</v>
      </c>
      <c r="L233" t="s">
        <v>74</v>
      </c>
      <c r="M233" t="s">
        <v>77</v>
      </c>
      <c r="N233" t="s">
        <v>120</v>
      </c>
      <c r="O233" t="s">
        <v>74</v>
      </c>
      <c r="P233" t="s">
        <v>74</v>
      </c>
      <c r="Q233" t="s">
        <v>74</v>
      </c>
      <c r="R233" t="s">
        <v>74</v>
      </c>
      <c r="S233" t="s">
        <v>74</v>
      </c>
      <c r="T233" t="s">
        <v>74</v>
      </c>
      <c r="U233" t="s">
        <v>3410</v>
      </c>
      <c r="V233" t="s">
        <v>3411</v>
      </c>
      <c r="W233" t="s">
        <v>3412</v>
      </c>
      <c r="X233" t="s">
        <v>3413</v>
      </c>
      <c r="Y233" t="s">
        <v>3414</v>
      </c>
      <c r="Z233" t="s">
        <v>74</v>
      </c>
      <c r="AA233" t="s">
        <v>74</v>
      </c>
      <c r="AB233" t="s">
        <v>74</v>
      </c>
      <c r="AC233" t="s">
        <v>74</v>
      </c>
      <c r="AD233" t="s">
        <v>74</v>
      </c>
      <c r="AE233" t="s">
        <v>74</v>
      </c>
      <c r="AF233" t="s">
        <v>74</v>
      </c>
      <c r="AG233">
        <v>24</v>
      </c>
      <c r="AH233">
        <v>130</v>
      </c>
      <c r="AI233">
        <v>159</v>
      </c>
      <c r="AJ233">
        <v>0</v>
      </c>
      <c r="AK233">
        <v>34</v>
      </c>
      <c r="AL233" t="s">
        <v>203</v>
      </c>
      <c r="AM233" t="s">
        <v>204</v>
      </c>
      <c r="AN233" t="s">
        <v>205</v>
      </c>
      <c r="AO233" t="s">
        <v>3415</v>
      </c>
      <c r="AP233" t="s">
        <v>74</v>
      </c>
      <c r="AQ233" t="s">
        <v>74</v>
      </c>
      <c r="AR233" t="s">
        <v>3416</v>
      </c>
      <c r="AS233" t="s">
        <v>3417</v>
      </c>
      <c r="AT233" t="s">
        <v>3219</v>
      </c>
      <c r="AU233">
        <v>2001</v>
      </c>
      <c r="AV233">
        <v>56</v>
      </c>
      <c r="AW233" t="s">
        <v>3418</v>
      </c>
      <c r="AX233" t="s">
        <v>74</v>
      </c>
      <c r="AY233" t="s">
        <v>74</v>
      </c>
      <c r="AZ233" t="s">
        <v>74</v>
      </c>
      <c r="BA233" t="s">
        <v>74</v>
      </c>
      <c r="BB233">
        <v>750</v>
      </c>
      <c r="BC233">
        <v>756</v>
      </c>
      <c r="BD233" t="s">
        <v>74</v>
      </c>
      <c r="BE233" t="s">
        <v>3419</v>
      </c>
      <c r="BF233" t="str">
        <f>HYPERLINK("http://dx.doi.org/10.1007/s002530100739","http://dx.doi.org/10.1007/s002530100739")</f>
        <v>http://dx.doi.org/10.1007/s002530100739</v>
      </c>
      <c r="BG233" t="s">
        <v>74</v>
      </c>
      <c r="BH233" t="s">
        <v>74</v>
      </c>
      <c r="BI233">
        <v>7</v>
      </c>
      <c r="BJ233" t="s">
        <v>3420</v>
      </c>
      <c r="BK233" t="s">
        <v>88</v>
      </c>
      <c r="BL233" t="s">
        <v>3420</v>
      </c>
      <c r="BM233" t="s">
        <v>3421</v>
      </c>
      <c r="BN233">
        <v>11601625</v>
      </c>
      <c r="BO233" t="s">
        <v>74</v>
      </c>
      <c r="BP233" t="s">
        <v>74</v>
      </c>
      <c r="BQ233" t="s">
        <v>74</v>
      </c>
      <c r="BR233" t="s">
        <v>91</v>
      </c>
      <c r="BS233" t="s">
        <v>3422</v>
      </c>
      <c r="BT233" t="str">
        <f>HYPERLINK("https%3A%2F%2Fwww.webofscience.com%2Fwos%2Fwoscc%2Ffull-record%2FWOS:000171273500023","View Full Record in Web of Science")</f>
        <v>View Full Record in Web of Science</v>
      </c>
    </row>
    <row r="234" spans="1:72" x14ac:dyDescent="0.15">
      <c r="A234" t="s">
        <v>72</v>
      </c>
      <c r="B234" t="s">
        <v>3423</v>
      </c>
      <c r="C234" t="s">
        <v>74</v>
      </c>
      <c r="D234" t="s">
        <v>74</v>
      </c>
      <c r="E234" t="s">
        <v>74</v>
      </c>
      <c r="F234" t="s">
        <v>3423</v>
      </c>
      <c r="G234" t="s">
        <v>74</v>
      </c>
      <c r="H234" t="s">
        <v>74</v>
      </c>
      <c r="I234" t="s">
        <v>3424</v>
      </c>
      <c r="J234" t="s">
        <v>3425</v>
      </c>
      <c r="K234" t="s">
        <v>74</v>
      </c>
      <c r="L234" t="s">
        <v>74</v>
      </c>
      <c r="M234" t="s">
        <v>77</v>
      </c>
      <c r="N234" t="s">
        <v>120</v>
      </c>
      <c r="O234" t="s">
        <v>74</v>
      </c>
      <c r="P234" t="s">
        <v>74</v>
      </c>
      <c r="Q234" t="s">
        <v>74</v>
      </c>
      <c r="R234" t="s">
        <v>74</v>
      </c>
      <c r="S234" t="s">
        <v>74</v>
      </c>
      <c r="T234" t="s">
        <v>3426</v>
      </c>
      <c r="U234" t="s">
        <v>3427</v>
      </c>
      <c r="V234" t="s">
        <v>3428</v>
      </c>
      <c r="W234" t="s">
        <v>3429</v>
      </c>
      <c r="X234" t="s">
        <v>3430</v>
      </c>
      <c r="Y234" t="s">
        <v>3431</v>
      </c>
      <c r="Z234" t="s">
        <v>74</v>
      </c>
      <c r="AA234" t="s">
        <v>74</v>
      </c>
      <c r="AB234" t="s">
        <v>74</v>
      </c>
      <c r="AC234" t="s">
        <v>74</v>
      </c>
      <c r="AD234" t="s">
        <v>74</v>
      </c>
      <c r="AE234" t="s">
        <v>74</v>
      </c>
      <c r="AF234" t="s">
        <v>74</v>
      </c>
      <c r="AG234">
        <v>10</v>
      </c>
      <c r="AH234">
        <v>13</v>
      </c>
      <c r="AI234">
        <v>18</v>
      </c>
      <c r="AJ234">
        <v>0</v>
      </c>
      <c r="AK234">
        <v>15</v>
      </c>
      <c r="AL234" t="s">
        <v>3432</v>
      </c>
      <c r="AM234" t="s">
        <v>3433</v>
      </c>
      <c r="AN234" t="s">
        <v>3434</v>
      </c>
      <c r="AO234" t="s">
        <v>3435</v>
      </c>
      <c r="AP234" t="s">
        <v>74</v>
      </c>
      <c r="AQ234" t="s">
        <v>74</v>
      </c>
      <c r="AR234" t="s">
        <v>3425</v>
      </c>
      <c r="AS234" t="s">
        <v>3436</v>
      </c>
      <c r="AT234" t="s">
        <v>3219</v>
      </c>
      <c r="AU234">
        <v>2001</v>
      </c>
      <c r="AV234">
        <v>54</v>
      </c>
      <c r="AW234">
        <v>3</v>
      </c>
      <c r="AX234" t="s">
        <v>74</v>
      </c>
      <c r="AY234" t="s">
        <v>74</v>
      </c>
      <c r="AZ234" t="s">
        <v>74</v>
      </c>
      <c r="BA234" t="s">
        <v>74</v>
      </c>
      <c r="BB234">
        <v>276</v>
      </c>
      <c r="BC234">
        <v>283</v>
      </c>
      <c r="BD234" t="s">
        <v>74</v>
      </c>
      <c r="BE234" t="s">
        <v>74</v>
      </c>
      <c r="BF234" t="s">
        <v>74</v>
      </c>
      <c r="BG234" t="s">
        <v>74</v>
      </c>
      <c r="BH234" t="s">
        <v>74</v>
      </c>
      <c r="BI234">
        <v>8</v>
      </c>
      <c r="BJ234" t="s">
        <v>798</v>
      </c>
      <c r="BK234" t="s">
        <v>88</v>
      </c>
      <c r="BL234" t="s">
        <v>799</v>
      </c>
      <c r="BM234" t="s">
        <v>3437</v>
      </c>
      <c r="BN234" t="s">
        <v>74</v>
      </c>
      <c r="BO234" t="s">
        <v>74</v>
      </c>
      <c r="BP234" t="s">
        <v>74</v>
      </c>
      <c r="BQ234" t="s">
        <v>74</v>
      </c>
      <c r="BR234" t="s">
        <v>91</v>
      </c>
      <c r="BS234" t="s">
        <v>3438</v>
      </c>
      <c r="BT234" t="str">
        <f>HYPERLINK("https%3A%2F%2Fwww.webofscience.com%2Fwos%2Fwoscc%2Ffull-record%2FWOS:000171532300007","View Full Record in Web of Science")</f>
        <v>View Full Record in Web of Science</v>
      </c>
    </row>
    <row r="235" spans="1:72" x14ac:dyDescent="0.15">
      <c r="A235" t="s">
        <v>72</v>
      </c>
      <c r="B235" t="s">
        <v>3439</v>
      </c>
      <c r="C235" t="s">
        <v>74</v>
      </c>
      <c r="D235" t="s">
        <v>74</v>
      </c>
      <c r="E235" t="s">
        <v>74</v>
      </c>
      <c r="F235" t="s">
        <v>3439</v>
      </c>
      <c r="G235" t="s">
        <v>74</v>
      </c>
      <c r="H235" t="s">
        <v>74</v>
      </c>
      <c r="I235" t="s">
        <v>3440</v>
      </c>
      <c r="J235" t="s">
        <v>3441</v>
      </c>
      <c r="K235" t="s">
        <v>74</v>
      </c>
      <c r="L235" t="s">
        <v>74</v>
      </c>
      <c r="M235" t="s">
        <v>77</v>
      </c>
      <c r="N235" t="s">
        <v>120</v>
      </c>
      <c r="O235" t="s">
        <v>74</v>
      </c>
      <c r="P235" t="s">
        <v>74</v>
      </c>
      <c r="Q235" t="s">
        <v>74</v>
      </c>
      <c r="R235" t="s">
        <v>74</v>
      </c>
      <c r="S235" t="s">
        <v>74</v>
      </c>
      <c r="T235" t="s">
        <v>74</v>
      </c>
      <c r="U235" t="s">
        <v>3442</v>
      </c>
      <c r="V235" t="s">
        <v>3443</v>
      </c>
      <c r="W235" t="s">
        <v>3444</v>
      </c>
      <c r="X235" t="s">
        <v>3445</v>
      </c>
      <c r="Y235" t="s">
        <v>3446</v>
      </c>
      <c r="Z235" t="s">
        <v>74</v>
      </c>
      <c r="AA235" t="s">
        <v>74</v>
      </c>
      <c r="AB235" t="s">
        <v>3447</v>
      </c>
      <c r="AC235" t="s">
        <v>3448</v>
      </c>
      <c r="AD235" t="s">
        <v>3449</v>
      </c>
      <c r="AE235" t="s">
        <v>74</v>
      </c>
      <c r="AF235" t="s">
        <v>74</v>
      </c>
      <c r="AG235">
        <v>40</v>
      </c>
      <c r="AH235">
        <v>20</v>
      </c>
      <c r="AI235">
        <v>24</v>
      </c>
      <c r="AJ235">
        <v>1</v>
      </c>
      <c r="AK235">
        <v>9</v>
      </c>
      <c r="AL235" t="s">
        <v>508</v>
      </c>
      <c r="AM235" t="s">
        <v>150</v>
      </c>
      <c r="AN235" t="s">
        <v>509</v>
      </c>
      <c r="AO235" t="s">
        <v>3450</v>
      </c>
      <c r="AP235" t="s">
        <v>74</v>
      </c>
      <c r="AQ235" t="s">
        <v>74</v>
      </c>
      <c r="AR235" t="s">
        <v>3451</v>
      </c>
      <c r="AS235" t="s">
        <v>3452</v>
      </c>
      <c r="AT235" t="s">
        <v>3453</v>
      </c>
      <c r="AU235">
        <v>2001</v>
      </c>
      <c r="AV235">
        <v>12</v>
      </c>
      <c r="AW235">
        <v>5</v>
      </c>
      <c r="AX235" t="s">
        <v>74</v>
      </c>
      <c r="AY235" t="s">
        <v>74</v>
      </c>
      <c r="AZ235" t="s">
        <v>74</v>
      </c>
      <c r="BA235" t="s">
        <v>74</v>
      </c>
      <c r="BB235">
        <v>817</v>
      </c>
      <c r="BC235">
        <v>823</v>
      </c>
      <c r="BD235" t="s">
        <v>74</v>
      </c>
      <c r="BE235" t="s">
        <v>3454</v>
      </c>
      <c r="BF235" t="str">
        <f>HYPERLINK("http://dx.doi.org/10.1021/bc0155059","http://dx.doi.org/10.1021/bc0155059")</f>
        <v>http://dx.doi.org/10.1021/bc0155059</v>
      </c>
      <c r="BG235" t="s">
        <v>74</v>
      </c>
      <c r="BH235" t="s">
        <v>74</v>
      </c>
      <c r="BI235">
        <v>7</v>
      </c>
      <c r="BJ235" t="s">
        <v>3455</v>
      </c>
      <c r="BK235" t="s">
        <v>88</v>
      </c>
      <c r="BL235" t="s">
        <v>3456</v>
      </c>
      <c r="BM235" t="s">
        <v>3457</v>
      </c>
      <c r="BN235">
        <v>11562200</v>
      </c>
      <c r="BO235" t="s">
        <v>74</v>
      </c>
      <c r="BP235" t="s">
        <v>74</v>
      </c>
      <c r="BQ235" t="s">
        <v>74</v>
      </c>
      <c r="BR235" t="s">
        <v>91</v>
      </c>
      <c r="BS235" t="s">
        <v>3458</v>
      </c>
      <c r="BT235" t="str">
        <f>HYPERLINK("https%3A%2F%2Fwww.webofscience.com%2Fwos%2Fwoscc%2Ffull-record%2FWOS:000171205200018","View Full Record in Web of Science")</f>
        <v>View Full Record in Web of Science</v>
      </c>
    </row>
    <row r="236" spans="1:72" x14ac:dyDescent="0.15">
      <c r="A236" t="s">
        <v>72</v>
      </c>
      <c r="B236" t="s">
        <v>3459</v>
      </c>
      <c r="C236" t="s">
        <v>74</v>
      </c>
      <c r="D236" t="s">
        <v>74</v>
      </c>
      <c r="E236" t="s">
        <v>74</v>
      </c>
      <c r="F236" t="s">
        <v>3459</v>
      </c>
      <c r="G236" t="s">
        <v>74</v>
      </c>
      <c r="H236" t="s">
        <v>74</v>
      </c>
      <c r="I236" t="s">
        <v>3460</v>
      </c>
      <c r="J236" t="s">
        <v>3461</v>
      </c>
      <c r="K236" t="s">
        <v>74</v>
      </c>
      <c r="L236" t="s">
        <v>74</v>
      </c>
      <c r="M236" t="s">
        <v>77</v>
      </c>
      <c r="N236" t="s">
        <v>120</v>
      </c>
      <c r="O236" t="s">
        <v>74</v>
      </c>
      <c r="P236" t="s">
        <v>74</v>
      </c>
      <c r="Q236" t="s">
        <v>74</v>
      </c>
      <c r="R236" t="s">
        <v>74</v>
      </c>
      <c r="S236" t="s">
        <v>74</v>
      </c>
      <c r="T236" t="s">
        <v>74</v>
      </c>
      <c r="U236" t="s">
        <v>3462</v>
      </c>
      <c r="V236" t="s">
        <v>3463</v>
      </c>
      <c r="W236" t="s">
        <v>3464</v>
      </c>
      <c r="X236" t="s">
        <v>3465</v>
      </c>
      <c r="Y236" t="s">
        <v>3466</v>
      </c>
      <c r="Z236" t="s">
        <v>74</v>
      </c>
      <c r="AA236" t="s">
        <v>74</v>
      </c>
      <c r="AB236" t="s">
        <v>74</v>
      </c>
      <c r="AC236" t="s">
        <v>74</v>
      </c>
      <c r="AD236" t="s">
        <v>74</v>
      </c>
      <c r="AE236" t="s">
        <v>74</v>
      </c>
      <c r="AF236" t="s">
        <v>74</v>
      </c>
      <c r="AG236">
        <v>36</v>
      </c>
      <c r="AH236">
        <v>0</v>
      </c>
      <c r="AI236">
        <v>0</v>
      </c>
      <c r="AJ236">
        <v>0</v>
      </c>
      <c r="AK236">
        <v>0</v>
      </c>
      <c r="AL236" t="s">
        <v>3467</v>
      </c>
      <c r="AM236" t="s">
        <v>3468</v>
      </c>
      <c r="AN236" t="s">
        <v>3469</v>
      </c>
      <c r="AO236" t="s">
        <v>3470</v>
      </c>
      <c r="AP236" t="s">
        <v>3471</v>
      </c>
      <c r="AQ236" t="s">
        <v>74</v>
      </c>
      <c r="AR236" t="s">
        <v>3472</v>
      </c>
      <c r="AS236" t="s">
        <v>3473</v>
      </c>
      <c r="AT236" t="s">
        <v>3453</v>
      </c>
      <c r="AU236">
        <v>2001</v>
      </c>
      <c r="AV236">
        <v>28</v>
      </c>
      <c r="AW236">
        <v>5</v>
      </c>
      <c r="AX236" t="s">
        <v>74</v>
      </c>
      <c r="AY236" t="s">
        <v>74</v>
      </c>
      <c r="AZ236" t="s">
        <v>74</v>
      </c>
      <c r="BA236" t="s">
        <v>74</v>
      </c>
      <c r="BB236">
        <v>536</v>
      </c>
      <c r="BC236">
        <v>538</v>
      </c>
      <c r="BD236" t="s">
        <v>74</v>
      </c>
      <c r="BE236" t="s">
        <v>3474</v>
      </c>
      <c r="BF236" t="str">
        <f>HYPERLINK("http://dx.doi.org/10.1023/A:1016708714022","http://dx.doi.org/10.1023/A:1016708714022")</f>
        <v>http://dx.doi.org/10.1023/A:1016708714022</v>
      </c>
      <c r="BG236" t="s">
        <v>74</v>
      </c>
      <c r="BH236" t="s">
        <v>74</v>
      </c>
      <c r="BI236">
        <v>3</v>
      </c>
      <c r="BJ236" t="s">
        <v>1231</v>
      </c>
      <c r="BK236" t="s">
        <v>88</v>
      </c>
      <c r="BL236" t="s">
        <v>1232</v>
      </c>
      <c r="BM236" t="s">
        <v>3475</v>
      </c>
      <c r="BN236" t="s">
        <v>74</v>
      </c>
      <c r="BO236" t="s">
        <v>74</v>
      </c>
      <c r="BP236" t="s">
        <v>74</v>
      </c>
      <c r="BQ236" t="s">
        <v>74</v>
      </c>
      <c r="BR236" t="s">
        <v>91</v>
      </c>
      <c r="BS236" t="s">
        <v>3476</v>
      </c>
      <c r="BT236" t="str">
        <f>HYPERLINK("https%3A%2F%2Fwww.webofscience.com%2Fwos%2Fwoscc%2Ffull-record%2FWOS:000174231100014","View Full Record in Web of Science")</f>
        <v>View Full Record in Web of Science</v>
      </c>
    </row>
    <row r="237" spans="1:72" x14ac:dyDescent="0.15">
      <c r="A237" t="s">
        <v>72</v>
      </c>
      <c r="B237" t="s">
        <v>3477</v>
      </c>
      <c r="C237" t="s">
        <v>74</v>
      </c>
      <c r="D237" t="s">
        <v>74</v>
      </c>
      <c r="E237" t="s">
        <v>74</v>
      </c>
      <c r="F237" t="s">
        <v>3477</v>
      </c>
      <c r="G237" t="s">
        <v>74</v>
      </c>
      <c r="H237" t="s">
        <v>74</v>
      </c>
      <c r="I237" t="s">
        <v>3478</v>
      </c>
      <c r="J237" t="s">
        <v>3479</v>
      </c>
      <c r="K237" t="s">
        <v>74</v>
      </c>
      <c r="L237" t="s">
        <v>74</v>
      </c>
      <c r="M237" t="s">
        <v>3480</v>
      </c>
      <c r="N237" t="s">
        <v>120</v>
      </c>
      <c r="O237" t="s">
        <v>74</v>
      </c>
      <c r="P237" t="s">
        <v>74</v>
      </c>
      <c r="Q237" t="s">
        <v>74</v>
      </c>
      <c r="R237" t="s">
        <v>74</v>
      </c>
      <c r="S237" t="s">
        <v>74</v>
      </c>
      <c r="T237" t="s">
        <v>3481</v>
      </c>
      <c r="U237" t="s">
        <v>3482</v>
      </c>
      <c r="V237" t="s">
        <v>3483</v>
      </c>
      <c r="W237" t="s">
        <v>3484</v>
      </c>
      <c r="X237" t="s">
        <v>3485</v>
      </c>
      <c r="Y237" t="s">
        <v>3486</v>
      </c>
      <c r="Z237" t="s">
        <v>74</v>
      </c>
      <c r="AA237" t="s">
        <v>74</v>
      </c>
      <c r="AB237" t="s">
        <v>74</v>
      </c>
      <c r="AC237" t="s">
        <v>74</v>
      </c>
      <c r="AD237" t="s">
        <v>74</v>
      </c>
      <c r="AE237" t="s">
        <v>74</v>
      </c>
      <c r="AF237" t="s">
        <v>74</v>
      </c>
      <c r="AG237">
        <v>33</v>
      </c>
      <c r="AH237">
        <v>3</v>
      </c>
      <c r="AI237">
        <v>5</v>
      </c>
      <c r="AJ237">
        <v>0</v>
      </c>
      <c r="AK237">
        <v>4</v>
      </c>
      <c r="AL237" t="s">
        <v>3487</v>
      </c>
      <c r="AM237" t="s">
        <v>3488</v>
      </c>
      <c r="AN237" t="s">
        <v>3489</v>
      </c>
      <c r="AO237" t="s">
        <v>3490</v>
      </c>
      <c r="AP237" t="s">
        <v>74</v>
      </c>
      <c r="AQ237" t="s">
        <v>74</v>
      </c>
      <c r="AR237" t="s">
        <v>3491</v>
      </c>
      <c r="AS237" t="s">
        <v>3492</v>
      </c>
      <c r="AT237" t="s">
        <v>3219</v>
      </c>
      <c r="AU237">
        <v>2001</v>
      </c>
      <c r="AV237">
        <v>27</v>
      </c>
      <c r="AW237">
        <v>3</v>
      </c>
      <c r="AX237" t="s">
        <v>74</v>
      </c>
      <c r="AY237" t="s">
        <v>74</v>
      </c>
      <c r="AZ237" t="s">
        <v>74</v>
      </c>
      <c r="BA237" t="s">
        <v>74</v>
      </c>
      <c r="BB237">
        <v>375</v>
      </c>
      <c r="BC237">
        <v>396</v>
      </c>
      <c r="BD237" t="s">
        <v>74</v>
      </c>
      <c r="BE237" t="s">
        <v>74</v>
      </c>
      <c r="BF237" t="s">
        <v>74</v>
      </c>
      <c r="BG237" t="s">
        <v>74</v>
      </c>
      <c r="BH237" t="s">
        <v>74</v>
      </c>
      <c r="BI237">
        <v>22</v>
      </c>
      <c r="BJ237" t="s">
        <v>323</v>
      </c>
      <c r="BK237" t="s">
        <v>88</v>
      </c>
      <c r="BL237" t="s">
        <v>323</v>
      </c>
      <c r="BM237" t="s">
        <v>3493</v>
      </c>
      <c r="BN237" t="s">
        <v>74</v>
      </c>
      <c r="BO237" t="s">
        <v>74</v>
      </c>
      <c r="BP237" t="s">
        <v>74</v>
      </c>
      <c r="BQ237" t="s">
        <v>74</v>
      </c>
      <c r="BR237" t="s">
        <v>91</v>
      </c>
      <c r="BS237" t="s">
        <v>3494</v>
      </c>
      <c r="BT237" t="str">
        <f>HYPERLINK("https%3A%2F%2Fwww.webofscience.com%2Fwos%2Fwoscc%2Ffull-record%2FWOS:000170765400004","View Full Record in Web of Science")</f>
        <v>View Full Record in Web of Science</v>
      </c>
    </row>
    <row r="238" spans="1:72" x14ac:dyDescent="0.15">
      <c r="A238" t="s">
        <v>72</v>
      </c>
      <c r="B238" t="s">
        <v>3495</v>
      </c>
      <c r="C238" t="s">
        <v>74</v>
      </c>
      <c r="D238" t="s">
        <v>74</v>
      </c>
      <c r="E238" t="s">
        <v>74</v>
      </c>
      <c r="F238" t="s">
        <v>3495</v>
      </c>
      <c r="G238" t="s">
        <v>74</v>
      </c>
      <c r="H238" t="s">
        <v>74</v>
      </c>
      <c r="I238" t="s">
        <v>3496</v>
      </c>
      <c r="J238" t="s">
        <v>2121</v>
      </c>
      <c r="K238" t="s">
        <v>74</v>
      </c>
      <c r="L238" t="s">
        <v>74</v>
      </c>
      <c r="M238" t="s">
        <v>77</v>
      </c>
      <c r="N238" t="s">
        <v>435</v>
      </c>
      <c r="O238" t="s">
        <v>3497</v>
      </c>
      <c r="P238" t="s">
        <v>3498</v>
      </c>
      <c r="Q238" t="s">
        <v>3499</v>
      </c>
      <c r="R238" t="s">
        <v>74</v>
      </c>
      <c r="S238" t="s">
        <v>3500</v>
      </c>
      <c r="T238" t="s">
        <v>3501</v>
      </c>
      <c r="U238" t="s">
        <v>3502</v>
      </c>
      <c r="V238" t="s">
        <v>3503</v>
      </c>
      <c r="W238" t="s">
        <v>3504</v>
      </c>
      <c r="X238" t="s">
        <v>1401</v>
      </c>
      <c r="Y238" t="s">
        <v>3505</v>
      </c>
      <c r="Z238" t="s">
        <v>3506</v>
      </c>
      <c r="AA238" t="s">
        <v>74</v>
      </c>
      <c r="AB238" t="s">
        <v>74</v>
      </c>
      <c r="AC238" t="s">
        <v>74</v>
      </c>
      <c r="AD238" t="s">
        <v>74</v>
      </c>
      <c r="AE238" t="s">
        <v>74</v>
      </c>
      <c r="AF238" t="s">
        <v>74</v>
      </c>
      <c r="AG238">
        <v>41</v>
      </c>
      <c r="AH238">
        <v>55</v>
      </c>
      <c r="AI238">
        <v>63</v>
      </c>
      <c r="AJ238">
        <v>2</v>
      </c>
      <c r="AK238">
        <v>30</v>
      </c>
      <c r="AL238" t="s">
        <v>488</v>
      </c>
      <c r="AM238" t="s">
        <v>350</v>
      </c>
      <c r="AN238" t="s">
        <v>489</v>
      </c>
      <c r="AO238" t="s">
        <v>2130</v>
      </c>
      <c r="AP238" t="s">
        <v>74</v>
      </c>
      <c r="AQ238" t="s">
        <v>74</v>
      </c>
      <c r="AR238" t="s">
        <v>2131</v>
      </c>
      <c r="AS238" t="s">
        <v>2132</v>
      </c>
      <c r="AT238" t="s">
        <v>3219</v>
      </c>
      <c r="AU238">
        <v>2001</v>
      </c>
      <c r="AV238">
        <v>32</v>
      </c>
      <c r="AW238" t="s">
        <v>3507</v>
      </c>
      <c r="AX238" t="s">
        <v>74</v>
      </c>
      <c r="AY238" t="s">
        <v>74</v>
      </c>
      <c r="AZ238" t="s">
        <v>74</v>
      </c>
      <c r="BA238" t="s">
        <v>74</v>
      </c>
      <c r="BB238">
        <v>157</v>
      </c>
      <c r="BC238">
        <v>174</v>
      </c>
      <c r="BD238" t="s">
        <v>74</v>
      </c>
      <c r="BE238" t="s">
        <v>3508</v>
      </c>
      <c r="BF238" t="str">
        <f>HYPERLINK("http://dx.doi.org/10.1016/S0165-232X(01)00027-1","http://dx.doi.org/10.1016/S0165-232X(01)00027-1")</f>
        <v>http://dx.doi.org/10.1016/S0165-232X(01)00027-1</v>
      </c>
      <c r="BG238" t="s">
        <v>74</v>
      </c>
      <c r="BH238" t="s">
        <v>74</v>
      </c>
      <c r="BI238">
        <v>18</v>
      </c>
      <c r="BJ238" t="s">
        <v>2134</v>
      </c>
      <c r="BK238" t="s">
        <v>816</v>
      </c>
      <c r="BL238" t="s">
        <v>2135</v>
      </c>
      <c r="BM238" t="s">
        <v>3509</v>
      </c>
      <c r="BN238" t="s">
        <v>74</v>
      </c>
      <c r="BO238" t="s">
        <v>74</v>
      </c>
      <c r="BP238" t="s">
        <v>74</v>
      </c>
      <c r="BQ238" t="s">
        <v>74</v>
      </c>
      <c r="BR238" t="s">
        <v>91</v>
      </c>
      <c r="BS238" t="s">
        <v>3510</v>
      </c>
      <c r="BT238" t="str">
        <f>HYPERLINK("https%3A%2F%2Fwww.webofscience.com%2Fwos%2Fwoscc%2Ffull-record%2FWOS:000171144200008","View Full Record in Web of Science")</f>
        <v>View Full Record in Web of Science</v>
      </c>
    </row>
    <row r="239" spans="1:72" x14ac:dyDescent="0.15">
      <c r="A239" t="s">
        <v>72</v>
      </c>
      <c r="B239" t="s">
        <v>3511</v>
      </c>
      <c r="C239" t="s">
        <v>74</v>
      </c>
      <c r="D239" t="s">
        <v>74</v>
      </c>
      <c r="E239" t="s">
        <v>74</v>
      </c>
      <c r="F239" t="s">
        <v>3511</v>
      </c>
      <c r="G239" t="s">
        <v>74</v>
      </c>
      <c r="H239" t="s">
        <v>74</v>
      </c>
      <c r="I239" t="s">
        <v>3512</v>
      </c>
      <c r="J239" t="s">
        <v>3513</v>
      </c>
      <c r="K239" t="s">
        <v>74</v>
      </c>
      <c r="L239" t="s">
        <v>74</v>
      </c>
      <c r="M239" t="s">
        <v>77</v>
      </c>
      <c r="N239" t="s">
        <v>96</v>
      </c>
      <c r="O239" t="s">
        <v>74</v>
      </c>
      <c r="P239" t="s">
        <v>74</v>
      </c>
      <c r="Q239" t="s">
        <v>74</v>
      </c>
      <c r="R239" t="s">
        <v>74</v>
      </c>
      <c r="S239" t="s">
        <v>74</v>
      </c>
      <c r="T239" t="s">
        <v>74</v>
      </c>
      <c r="U239" t="s">
        <v>3514</v>
      </c>
      <c r="V239" t="s">
        <v>3515</v>
      </c>
      <c r="W239" t="s">
        <v>3516</v>
      </c>
      <c r="X239" t="s">
        <v>3517</v>
      </c>
      <c r="Y239" t="s">
        <v>3518</v>
      </c>
      <c r="Z239" t="s">
        <v>3519</v>
      </c>
      <c r="AA239" t="s">
        <v>3520</v>
      </c>
      <c r="AB239" t="s">
        <v>3521</v>
      </c>
      <c r="AC239" t="s">
        <v>74</v>
      </c>
      <c r="AD239" t="s">
        <v>74</v>
      </c>
      <c r="AE239" t="s">
        <v>74</v>
      </c>
      <c r="AF239" t="s">
        <v>74</v>
      </c>
      <c r="AG239">
        <v>123</v>
      </c>
      <c r="AH239">
        <v>70</v>
      </c>
      <c r="AI239">
        <v>72</v>
      </c>
      <c r="AJ239">
        <v>0</v>
      </c>
      <c r="AK239">
        <v>12</v>
      </c>
      <c r="AL239" t="s">
        <v>3522</v>
      </c>
      <c r="AM239" t="s">
        <v>3523</v>
      </c>
      <c r="AN239" t="s">
        <v>3524</v>
      </c>
      <c r="AO239" t="s">
        <v>3525</v>
      </c>
      <c r="AP239" t="s">
        <v>74</v>
      </c>
      <c r="AQ239" t="s">
        <v>74</v>
      </c>
      <c r="AR239" t="s">
        <v>3526</v>
      </c>
      <c r="AS239" t="s">
        <v>3527</v>
      </c>
      <c r="AT239" t="s">
        <v>3219</v>
      </c>
      <c r="AU239">
        <v>2001</v>
      </c>
      <c r="AV239">
        <v>5</v>
      </c>
      <c r="AW239">
        <v>9</v>
      </c>
      <c r="AX239" t="s">
        <v>74</v>
      </c>
      <c r="AY239" t="s">
        <v>74</v>
      </c>
      <c r="AZ239" t="s">
        <v>74</v>
      </c>
      <c r="BA239" t="s">
        <v>74</v>
      </c>
      <c r="BB239">
        <v>951</v>
      </c>
      <c r="BC239">
        <v>973</v>
      </c>
      <c r="BD239" t="s">
        <v>74</v>
      </c>
      <c r="BE239" t="s">
        <v>74</v>
      </c>
      <c r="BF239" t="s">
        <v>74</v>
      </c>
      <c r="BG239" t="s">
        <v>74</v>
      </c>
      <c r="BH239" t="s">
        <v>74</v>
      </c>
      <c r="BI239">
        <v>23</v>
      </c>
      <c r="BJ239" t="s">
        <v>3528</v>
      </c>
      <c r="BK239" t="s">
        <v>88</v>
      </c>
      <c r="BL239" t="s">
        <v>517</v>
      </c>
      <c r="BM239" t="s">
        <v>3529</v>
      </c>
      <c r="BN239" t="s">
        <v>74</v>
      </c>
      <c r="BO239" t="s">
        <v>74</v>
      </c>
      <c r="BP239" t="s">
        <v>74</v>
      </c>
      <c r="BQ239" t="s">
        <v>74</v>
      </c>
      <c r="BR239" t="s">
        <v>91</v>
      </c>
      <c r="BS239" t="s">
        <v>3530</v>
      </c>
      <c r="BT239" t="str">
        <f>HYPERLINK("https%3A%2F%2Fwww.webofscience.com%2Fwos%2Fwoscc%2Ffull-record%2FWOS:000172119800004","View Full Record in Web of Science")</f>
        <v>View Full Record in Web of Science</v>
      </c>
    </row>
    <row r="240" spans="1:72" x14ac:dyDescent="0.15">
      <c r="A240" t="s">
        <v>72</v>
      </c>
      <c r="B240" t="s">
        <v>3531</v>
      </c>
      <c r="C240" t="s">
        <v>74</v>
      </c>
      <c r="D240" t="s">
        <v>74</v>
      </c>
      <c r="E240" t="s">
        <v>74</v>
      </c>
      <c r="F240" t="s">
        <v>3531</v>
      </c>
      <c r="G240" t="s">
        <v>74</v>
      </c>
      <c r="H240" t="s">
        <v>74</v>
      </c>
      <c r="I240" t="s">
        <v>3532</v>
      </c>
      <c r="J240" t="s">
        <v>3533</v>
      </c>
      <c r="K240" t="s">
        <v>74</v>
      </c>
      <c r="L240" t="s">
        <v>74</v>
      </c>
      <c r="M240" t="s">
        <v>77</v>
      </c>
      <c r="N240" t="s">
        <v>120</v>
      </c>
      <c r="O240" t="s">
        <v>74</v>
      </c>
      <c r="P240" t="s">
        <v>74</v>
      </c>
      <c r="Q240" t="s">
        <v>74</v>
      </c>
      <c r="R240" t="s">
        <v>74</v>
      </c>
      <c r="S240" t="s">
        <v>74</v>
      </c>
      <c r="T240" t="s">
        <v>3534</v>
      </c>
      <c r="U240" t="s">
        <v>3535</v>
      </c>
      <c r="V240" t="s">
        <v>3536</v>
      </c>
      <c r="W240" t="s">
        <v>3537</v>
      </c>
      <c r="X240" t="s">
        <v>3538</v>
      </c>
      <c r="Y240" t="s">
        <v>3539</v>
      </c>
      <c r="Z240" t="s">
        <v>3540</v>
      </c>
      <c r="AA240" t="s">
        <v>74</v>
      </c>
      <c r="AB240" t="s">
        <v>3541</v>
      </c>
      <c r="AC240" t="s">
        <v>74</v>
      </c>
      <c r="AD240" t="s">
        <v>74</v>
      </c>
      <c r="AE240" t="s">
        <v>74</v>
      </c>
      <c r="AF240" t="s">
        <v>74</v>
      </c>
      <c r="AG240">
        <v>54</v>
      </c>
      <c r="AH240">
        <v>18</v>
      </c>
      <c r="AI240">
        <v>20</v>
      </c>
      <c r="AJ240">
        <v>0</v>
      </c>
      <c r="AK240">
        <v>1</v>
      </c>
      <c r="AL240" t="s">
        <v>79</v>
      </c>
      <c r="AM240" t="s">
        <v>80</v>
      </c>
      <c r="AN240" t="s">
        <v>81</v>
      </c>
      <c r="AO240" t="s">
        <v>3542</v>
      </c>
      <c r="AP240" t="s">
        <v>74</v>
      </c>
      <c r="AQ240" t="s">
        <v>74</v>
      </c>
      <c r="AR240" t="s">
        <v>3543</v>
      </c>
      <c r="AS240" t="s">
        <v>3544</v>
      </c>
      <c r="AT240" t="s">
        <v>3219</v>
      </c>
      <c r="AU240">
        <v>2001</v>
      </c>
      <c r="AV240">
        <v>48</v>
      </c>
      <c r="AW240">
        <v>9</v>
      </c>
      <c r="AX240" t="s">
        <v>74</v>
      </c>
      <c r="AY240" t="s">
        <v>74</v>
      </c>
      <c r="AZ240" t="s">
        <v>74</v>
      </c>
      <c r="BA240" t="s">
        <v>74</v>
      </c>
      <c r="BB240">
        <v>2025</v>
      </c>
      <c r="BC240">
        <v>2049</v>
      </c>
      <c r="BD240" t="s">
        <v>74</v>
      </c>
      <c r="BE240" t="s">
        <v>3545</v>
      </c>
      <c r="BF240" t="str">
        <f>HYPERLINK("http://dx.doi.org/10.1016/S0967-0637(01)00004-8","http://dx.doi.org/10.1016/S0967-0637(01)00004-8")</f>
        <v>http://dx.doi.org/10.1016/S0967-0637(01)00004-8</v>
      </c>
      <c r="BG240" t="s">
        <v>74</v>
      </c>
      <c r="BH240" t="s">
        <v>74</v>
      </c>
      <c r="BI240">
        <v>25</v>
      </c>
      <c r="BJ240" t="s">
        <v>668</v>
      </c>
      <c r="BK240" t="s">
        <v>88</v>
      </c>
      <c r="BL240" t="s">
        <v>668</v>
      </c>
      <c r="BM240" t="s">
        <v>3546</v>
      </c>
      <c r="BN240" t="s">
        <v>74</v>
      </c>
      <c r="BO240" t="s">
        <v>74</v>
      </c>
      <c r="BP240" t="s">
        <v>74</v>
      </c>
      <c r="BQ240" t="s">
        <v>74</v>
      </c>
      <c r="BR240" t="s">
        <v>91</v>
      </c>
      <c r="BS240" t="s">
        <v>3547</v>
      </c>
      <c r="BT240" t="str">
        <f>HYPERLINK("https%3A%2F%2Fwww.webofscience.com%2Fwos%2Fwoscc%2Ffull-record%2FWOS:000169461200003","View Full Record in Web of Science")</f>
        <v>View Full Record in Web of Science</v>
      </c>
    </row>
    <row r="241" spans="1:72" x14ac:dyDescent="0.15">
      <c r="A241" t="s">
        <v>72</v>
      </c>
      <c r="B241" t="s">
        <v>3548</v>
      </c>
      <c r="C241" t="s">
        <v>74</v>
      </c>
      <c r="D241" t="s">
        <v>74</v>
      </c>
      <c r="E241" t="s">
        <v>74</v>
      </c>
      <c r="F241" t="s">
        <v>3548</v>
      </c>
      <c r="G241" t="s">
        <v>74</v>
      </c>
      <c r="H241" t="s">
        <v>74</v>
      </c>
      <c r="I241" t="s">
        <v>3549</v>
      </c>
      <c r="J241" t="s">
        <v>3533</v>
      </c>
      <c r="K241" t="s">
        <v>74</v>
      </c>
      <c r="L241" t="s">
        <v>74</v>
      </c>
      <c r="M241" t="s">
        <v>77</v>
      </c>
      <c r="N241" t="s">
        <v>120</v>
      </c>
      <c r="O241" t="s">
        <v>74</v>
      </c>
      <c r="P241" t="s">
        <v>74</v>
      </c>
      <c r="Q241" t="s">
        <v>74</v>
      </c>
      <c r="R241" t="s">
        <v>74</v>
      </c>
      <c r="S241" t="s">
        <v>74</v>
      </c>
      <c r="T241" t="s">
        <v>3550</v>
      </c>
      <c r="U241" t="s">
        <v>3551</v>
      </c>
      <c r="V241" t="s">
        <v>3552</v>
      </c>
      <c r="W241" t="s">
        <v>3553</v>
      </c>
      <c r="X241" t="s">
        <v>3538</v>
      </c>
      <c r="Y241" t="s">
        <v>3554</v>
      </c>
      <c r="Z241" t="s">
        <v>74</v>
      </c>
      <c r="AA241" t="s">
        <v>74</v>
      </c>
      <c r="AB241" t="s">
        <v>74</v>
      </c>
      <c r="AC241" t="s">
        <v>74</v>
      </c>
      <c r="AD241" t="s">
        <v>74</v>
      </c>
      <c r="AE241" t="s">
        <v>74</v>
      </c>
      <c r="AF241" t="s">
        <v>74</v>
      </c>
      <c r="AG241">
        <v>80</v>
      </c>
      <c r="AH241">
        <v>57</v>
      </c>
      <c r="AI241">
        <v>59</v>
      </c>
      <c r="AJ241">
        <v>0</v>
      </c>
      <c r="AK241">
        <v>14</v>
      </c>
      <c r="AL241" t="s">
        <v>79</v>
      </c>
      <c r="AM241" t="s">
        <v>80</v>
      </c>
      <c r="AN241" t="s">
        <v>81</v>
      </c>
      <c r="AO241" t="s">
        <v>3542</v>
      </c>
      <c r="AP241" t="s">
        <v>74</v>
      </c>
      <c r="AQ241" t="s">
        <v>74</v>
      </c>
      <c r="AR241" t="s">
        <v>3543</v>
      </c>
      <c r="AS241" t="s">
        <v>3544</v>
      </c>
      <c r="AT241" t="s">
        <v>3219</v>
      </c>
      <c r="AU241">
        <v>2001</v>
      </c>
      <c r="AV241">
        <v>48</v>
      </c>
      <c r="AW241">
        <v>9</v>
      </c>
      <c r="AX241" t="s">
        <v>74</v>
      </c>
      <c r="AY241" t="s">
        <v>74</v>
      </c>
      <c r="AZ241" t="s">
        <v>74</v>
      </c>
      <c r="BA241" t="s">
        <v>74</v>
      </c>
      <c r="BB241">
        <v>2051</v>
      </c>
      <c r="BC241">
        <v>2071</v>
      </c>
      <c r="BD241" t="s">
        <v>74</v>
      </c>
      <c r="BE241" t="s">
        <v>3555</v>
      </c>
      <c r="BF241" t="str">
        <f>HYPERLINK("http://dx.doi.org/10.1016/S0967-0637(01)00005-X","http://dx.doi.org/10.1016/S0967-0637(01)00005-X")</f>
        <v>http://dx.doi.org/10.1016/S0967-0637(01)00005-X</v>
      </c>
      <c r="BG241" t="s">
        <v>74</v>
      </c>
      <c r="BH241" t="s">
        <v>74</v>
      </c>
      <c r="BI241">
        <v>21</v>
      </c>
      <c r="BJ241" t="s">
        <v>668</v>
      </c>
      <c r="BK241" t="s">
        <v>88</v>
      </c>
      <c r="BL241" t="s">
        <v>668</v>
      </c>
      <c r="BM241" t="s">
        <v>3546</v>
      </c>
      <c r="BN241" t="s">
        <v>74</v>
      </c>
      <c r="BO241" t="s">
        <v>74</v>
      </c>
      <c r="BP241" t="s">
        <v>74</v>
      </c>
      <c r="BQ241" t="s">
        <v>74</v>
      </c>
      <c r="BR241" t="s">
        <v>91</v>
      </c>
      <c r="BS241" t="s">
        <v>3556</v>
      </c>
      <c r="BT241" t="str">
        <f>HYPERLINK("https%3A%2F%2Fwww.webofscience.com%2Fwos%2Fwoscc%2Ffull-record%2FWOS:000169461200004","View Full Record in Web of Science")</f>
        <v>View Full Record in Web of Science</v>
      </c>
    </row>
    <row r="242" spans="1:72" x14ac:dyDescent="0.15">
      <c r="A242" t="s">
        <v>72</v>
      </c>
      <c r="B242" t="s">
        <v>3557</v>
      </c>
      <c r="C242" t="s">
        <v>74</v>
      </c>
      <c r="D242" t="s">
        <v>74</v>
      </c>
      <c r="E242" t="s">
        <v>74</v>
      </c>
      <c r="F242" t="s">
        <v>3557</v>
      </c>
      <c r="G242" t="s">
        <v>74</v>
      </c>
      <c r="H242" t="s">
        <v>74</v>
      </c>
      <c r="I242" t="s">
        <v>3558</v>
      </c>
      <c r="J242" t="s">
        <v>3559</v>
      </c>
      <c r="K242" t="s">
        <v>74</v>
      </c>
      <c r="L242" t="s">
        <v>74</v>
      </c>
      <c r="M242" t="s">
        <v>77</v>
      </c>
      <c r="N242" t="s">
        <v>120</v>
      </c>
      <c r="O242" t="s">
        <v>74</v>
      </c>
      <c r="P242" t="s">
        <v>74</v>
      </c>
      <c r="Q242" t="s">
        <v>74</v>
      </c>
      <c r="R242" t="s">
        <v>74</v>
      </c>
      <c r="S242" t="s">
        <v>74</v>
      </c>
      <c r="T242" t="s">
        <v>3560</v>
      </c>
      <c r="U242" t="s">
        <v>3561</v>
      </c>
      <c r="V242" t="s">
        <v>3562</v>
      </c>
      <c r="W242" t="s">
        <v>3563</v>
      </c>
      <c r="X242" t="s">
        <v>3564</v>
      </c>
      <c r="Y242" t="s">
        <v>3565</v>
      </c>
      <c r="Z242" t="s">
        <v>74</v>
      </c>
      <c r="AA242" t="s">
        <v>3566</v>
      </c>
      <c r="AB242" t="s">
        <v>74</v>
      </c>
      <c r="AC242" t="s">
        <v>74</v>
      </c>
      <c r="AD242" t="s">
        <v>74</v>
      </c>
      <c r="AE242" t="s">
        <v>74</v>
      </c>
      <c r="AF242" t="s">
        <v>74</v>
      </c>
      <c r="AG242">
        <v>20</v>
      </c>
      <c r="AH242">
        <v>54</v>
      </c>
      <c r="AI242">
        <v>64</v>
      </c>
      <c r="AJ242">
        <v>2</v>
      </c>
      <c r="AK242">
        <v>25</v>
      </c>
      <c r="AL242" t="s">
        <v>203</v>
      </c>
      <c r="AM242" t="s">
        <v>204</v>
      </c>
      <c r="AN242" t="s">
        <v>205</v>
      </c>
      <c r="AO242" t="s">
        <v>3567</v>
      </c>
      <c r="AP242" t="s">
        <v>74</v>
      </c>
      <c r="AQ242" t="s">
        <v>74</v>
      </c>
      <c r="AR242" t="s">
        <v>3568</v>
      </c>
      <c r="AS242" t="s">
        <v>3569</v>
      </c>
      <c r="AT242" t="s">
        <v>3219</v>
      </c>
      <c r="AU242">
        <v>2001</v>
      </c>
      <c r="AV242">
        <v>40</v>
      </c>
      <c r="AW242">
        <v>10</v>
      </c>
      <c r="AX242" t="s">
        <v>74</v>
      </c>
      <c r="AY242" t="s">
        <v>74</v>
      </c>
      <c r="AZ242" t="s">
        <v>74</v>
      </c>
      <c r="BA242" t="s">
        <v>74</v>
      </c>
      <c r="BB242">
        <v>1205</v>
      </c>
      <c r="BC242">
        <v>1208</v>
      </c>
      <c r="BD242" t="s">
        <v>74</v>
      </c>
      <c r="BE242" t="s">
        <v>3570</v>
      </c>
      <c r="BF242" t="str">
        <f>HYPERLINK("http://dx.doi.org/10.1007/s002540100346","http://dx.doi.org/10.1007/s002540100346")</f>
        <v>http://dx.doi.org/10.1007/s002540100346</v>
      </c>
      <c r="BG242" t="s">
        <v>74</v>
      </c>
      <c r="BH242" t="s">
        <v>74</v>
      </c>
      <c r="BI242">
        <v>4</v>
      </c>
      <c r="BJ242" t="s">
        <v>3571</v>
      </c>
      <c r="BK242" t="s">
        <v>88</v>
      </c>
      <c r="BL242" t="s">
        <v>3572</v>
      </c>
      <c r="BM242" t="s">
        <v>3573</v>
      </c>
      <c r="BN242" t="s">
        <v>74</v>
      </c>
      <c r="BO242" t="s">
        <v>74</v>
      </c>
      <c r="BP242" t="s">
        <v>74</v>
      </c>
      <c r="BQ242" t="s">
        <v>74</v>
      </c>
      <c r="BR242" t="s">
        <v>91</v>
      </c>
      <c r="BS242" t="s">
        <v>3574</v>
      </c>
      <c r="BT242" t="str">
        <f>HYPERLINK("https%3A%2F%2Fwww.webofscience.com%2Fwos%2Fwoscc%2Ffull-record%2FWOS:000171259300004","View Full Record in Web of Science")</f>
        <v>View Full Record in Web of Science</v>
      </c>
    </row>
    <row r="243" spans="1:72" x14ac:dyDescent="0.15">
      <c r="A243" t="s">
        <v>72</v>
      </c>
      <c r="B243" t="s">
        <v>3575</v>
      </c>
      <c r="C243" t="s">
        <v>74</v>
      </c>
      <c r="D243" t="s">
        <v>74</v>
      </c>
      <c r="E243" t="s">
        <v>74</v>
      </c>
      <c r="F243" t="s">
        <v>3575</v>
      </c>
      <c r="G243" t="s">
        <v>74</v>
      </c>
      <c r="H243" t="s">
        <v>74</v>
      </c>
      <c r="I243" t="s">
        <v>3576</v>
      </c>
      <c r="J243" t="s">
        <v>3577</v>
      </c>
      <c r="K243" t="s">
        <v>74</v>
      </c>
      <c r="L243" t="s">
        <v>74</v>
      </c>
      <c r="M243" t="s">
        <v>77</v>
      </c>
      <c r="N243" t="s">
        <v>120</v>
      </c>
      <c r="O243" t="s">
        <v>74</v>
      </c>
      <c r="P243" t="s">
        <v>74</v>
      </c>
      <c r="Q243" t="s">
        <v>74</v>
      </c>
      <c r="R243" t="s">
        <v>74</v>
      </c>
      <c r="S243" t="s">
        <v>74</v>
      </c>
      <c r="T243" t="s">
        <v>3578</v>
      </c>
      <c r="U243" t="s">
        <v>3579</v>
      </c>
      <c r="V243" t="s">
        <v>3580</v>
      </c>
      <c r="W243" t="s">
        <v>3581</v>
      </c>
      <c r="X243" t="s">
        <v>3582</v>
      </c>
      <c r="Y243" t="s">
        <v>3583</v>
      </c>
      <c r="Z243" t="s">
        <v>3584</v>
      </c>
      <c r="AA243" t="s">
        <v>3585</v>
      </c>
      <c r="AB243" t="s">
        <v>3586</v>
      </c>
      <c r="AC243" t="s">
        <v>74</v>
      </c>
      <c r="AD243" t="s">
        <v>74</v>
      </c>
      <c r="AE243" t="s">
        <v>74</v>
      </c>
      <c r="AF243" t="s">
        <v>74</v>
      </c>
      <c r="AG243">
        <v>32</v>
      </c>
      <c r="AH243">
        <v>61</v>
      </c>
      <c r="AI243">
        <v>67</v>
      </c>
      <c r="AJ243">
        <v>0</v>
      </c>
      <c r="AK243">
        <v>11</v>
      </c>
      <c r="AL243" t="s">
        <v>1247</v>
      </c>
      <c r="AM243" t="s">
        <v>1248</v>
      </c>
      <c r="AN243" t="s">
        <v>1249</v>
      </c>
      <c r="AO243" t="s">
        <v>3587</v>
      </c>
      <c r="AP243" t="s">
        <v>3588</v>
      </c>
      <c r="AQ243" t="s">
        <v>74</v>
      </c>
      <c r="AR243" t="s">
        <v>3589</v>
      </c>
      <c r="AS243" t="s">
        <v>3590</v>
      </c>
      <c r="AT243" t="s">
        <v>3219</v>
      </c>
      <c r="AU243">
        <v>2001</v>
      </c>
      <c r="AV243">
        <v>20</v>
      </c>
      <c r="AW243">
        <v>9</v>
      </c>
      <c r="AX243" t="s">
        <v>74</v>
      </c>
      <c r="AY243" t="s">
        <v>74</v>
      </c>
      <c r="AZ243" t="s">
        <v>74</v>
      </c>
      <c r="BA243" t="s">
        <v>74</v>
      </c>
      <c r="BB243">
        <v>2088</v>
      </c>
      <c r="BC243">
        <v>2092</v>
      </c>
      <c r="BD243" t="s">
        <v>74</v>
      </c>
      <c r="BE243" t="s">
        <v>3591</v>
      </c>
      <c r="BF243" t="str">
        <f>HYPERLINK("http://dx.doi.org/10.1002/etc.5620200931","http://dx.doi.org/10.1002/etc.5620200931")</f>
        <v>http://dx.doi.org/10.1002/etc.5620200931</v>
      </c>
      <c r="BG243" t="s">
        <v>74</v>
      </c>
      <c r="BH243" t="s">
        <v>74</v>
      </c>
      <c r="BI243">
        <v>5</v>
      </c>
      <c r="BJ243" t="s">
        <v>3592</v>
      </c>
      <c r="BK243" t="s">
        <v>88</v>
      </c>
      <c r="BL243" t="s">
        <v>3593</v>
      </c>
      <c r="BM243" t="s">
        <v>3594</v>
      </c>
      <c r="BN243">
        <v>11521839</v>
      </c>
      <c r="BO243" t="s">
        <v>74</v>
      </c>
      <c r="BP243" t="s">
        <v>74</v>
      </c>
      <c r="BQ243" t="s">
        <v>74</v>
      </c>
      <c r="BR243" t="s">
        <v>91</v>
      </c>
      <c r="BS243" t="s">
        <v>3595</v>
      </c>
      <c r="BT243" t="str">
        <f>HYPERLINK("https%3A%2F%2Fwww.webofscience.com%2Fwos%2Fwoscc%2Ffull-record%2FWOS:000170603200031","View Full Record in Web of Science")</f>
        <v>View Full Record in Web of Science</v>
      </c>
    </row>
    <row r="244" spans="1:72" x14ac:dyDescent="0.15">
      <c r="A244" t="s">
        <v>72</v>
      </c>
      <c r="B244" t="s">
        <v>3596</v>
      </c>
      <c r="C244" t="s">
        <v>74</v>
      </c>
      <c r="D244" t="s">
        <v>74</v>
      </c>
      <c r="E244" t="s">
        <v>74</v>
      </c>
      <c r="F244" t="s">
        <v>3596</v>
      </c>
      <c r="G244" t="s">
        <v>74</v>
      </c>
      <c r="H244" t="s">
        <v>74</v>
      </c>
      <c r="I244" t="s">
        <v>3597</v>
      </c>
      <c r="J244" t="s">
        <v>3598</v>
      </c>
      <c r="K244" t="s">
        <v>74</v>
      </c>
      <c r="L244" t="s">
        <v>74</v>
      </c>
      <c r="M244" t="s">
        <v>77</v>
      </c>
      <c r="N244" t="s">
        <v>120</v>
      </c>
      <c r="O244" t="s">
        <v>74</v>
      </c>
      <c r="P244" t="s">
        <v>74</v>
      </c>
      <c r="Q244" t="s">
        <v>74</v>
      </c>
      <c r="R244" t="s">
        <v>74</v>
      </c>
      <c r="S244" t="s">
        <v>74</v>
      </c>
      <c r="T244" t="s">
        <v>74</v>
      </c>
      <c r="U244" t="s">
        <v>3599</v>
      </c>
      <c r="V244" t="s">
        <v>3600</v>
      </c>
      <c r="W244" t="s">
        <v>3601</v>
      </c>
      <c r="X244" t="s">
        <v>3602</v>
      </c>
      <c r="Y244" t="s">
        <v>3603</v>
      </c>
      <c r="Z244" t="s">
        <v>74</v>
      </c>
      <c r="AA244" t="s">
        <v>3604</v>
      </c>
      <c r="AB244" t="s">
        <v>3605</v>
      </c>
      <c r="AC244" t="s">
        <v>74</v>
      </c>
      <c r="AD244" t="s">
        <v>74</v>
      </c>
      <c r="AE244" t="s">
        <v>74</v>
      </c>
      <c r="AF244" t="s">
        <v>74</v>
      </c>
      <c r="AG244">
        <v>47</v>
      </c>
      <c r="AH244">
        <v>37</v>
      </c>
      <c r="AI244">
        <v>40</v>
      </c>
      <c r="AJ244">
        <v>0</v>
      </c>
      <c r="AK244">
        <v>11</v>
      </c>
      <c r="AL244" t="s">
        <v>1080</v>
      </c>
      <c r="AM244" t="s">
        <v>80</v>
      </c>
      <c r="AN244" t="s">
        <v>1081</v>
      </c>
      <c r="AO244" t="s">
        <v>3606</v>
      </c>
      <c r="AP244" t="s">
        <v>74</v>
      </c>
      <c r="AQ244" t="s">
        <v>74</v>
      </c>
      <c r="AR244" t="s">
        <v>3607</v>
      </c>
      <c r="AS244" t="s">
        <v>3608</v>
      </c>
      <c r="AT244" t="s">
        <v>3219</v>
      </c>
      <c r="AU244">
        <v>2001</v>
      </c>
      <c r="AV244">
        <v>46</v>
      </c>
      <c r="AW244">
        <v>9</v>
      </c>
      <c r="AX244" t="s">
        <v>74</v>
      </c>
      <c r="AY244" t="s">
        <v>74</v>
      </c>
      <c r="AZ244" t="s">
        <v>74</v>
      </c>
      <c r="BA244" t="s">
        <v>74</v>
      </c>
      <c r="BB244">
        <v>1205</v>
      </c>
      <c r="BC244">
        <v>1217</v>
      </c>
      <c r="BD244" t="s">
        <v>74</v>
      </c>
      <c r="BE244" t="s">
        <v>3609</v>
      </c>
      <c r="BF244" t="str">
        <f>HYPERLINK("http://dx.doi.org/10.1046/j.1365-2427.2001.00741.x","http://dx.doi.org/10.1046/j.1365-2427.2001.00741.x")</f>
        <v>http://dx.doi.org/10.1046/j.1365-2427.2001.00741.x</v>
      </c>
      <c r="BG244" t="s">
        <v>74</v>
      </c>
      <c r="BH244" t="s">
        <v>74</v>
      </c>
      <c r="BI244">
        <v>13</v>
      </c>
      <c r="BJ244" t="s">
        <v>429</v>
      </c>
      <c r="BK244" t="s">
        <v>88</v>
      </c>
      <c r="BL244" t="s">
        <v>89</v>
      </c>
      <c r="BM244" t="s">
        <v>3610</v>
      </c>
      <c r="BN244" t="s">
        <v>74</v>
      </c>
      <c r="BO244" t="s">
        <v>74</v>
      </c>
      <c r="BP244" t="s">
        <v>74</v>
      </c>
      <c r="BQ244" t="s">
        <v>74</v>
      </c>
      <c r="BR244" t="s">
        <v>91</v>
      </c>
      <c r="BS244" t="s">
        <v>3611</v>
      </c>
      <c r="BT244" t="str">
        <f>HYPERLINK("https%3A%2F%2Fwww.webofscience.com%2Fwos%2Fwoscc%2Ffull-record%2FWOS:000171284900005","View Full Record in Web of Science")</f>
        <v>View Full Record in Web of Science</v>
      </c>
    </row>
    <row r="245" spans="1:72" x14ac:dyDescent="0.15">
      <c r="A245" t="s">
        <v>72</v>
      </c>
      <c r="B245" t="s">
        <v>3612</v>
      </c>
      <c r="C245" t="s">
        <v>74</v>
      </c>
      <c r="D245" t="s">
        <v>74</v>
      </c>
      <c r="E245" t="s">
        <v>74</v>
      </c>
      <c r="F245" t="s">
        <v>3612</v>
      </c>
      <c r="G245" t="s">
        <v>74</v>
      </c>
      <c r="H245" t="s">
        <v>74</v>
      </c>
      <c r="I245" t="s">
        <v>3613</v>
      </c>
      <c r="J245" t="s">
        <v>3598</v>
      </c>
      <c r="K245" t="s">
        <v>74</v>
      </c>
      <c r="L245" t="s">
        <v>74</v>
      </c>
      <c r="M245" t="s">
        <v>77</v>
      </c>
      <c r="N245" t="s">
        <v>120</v>
      </c>
      <c r="O245" t="s">
        <v>74</v>
      </c>
      <c r="P245" t="s">
        <v>74</v>
      </c>
      <c r="Q245" t="s">
        <v>74</v>
      </c>
      <c r="R245" t="s">
        <v>74</v>
      </c>
      <c r="S245" t="s">
        <v>74</v>
      </c>
      <c r="T245" t="s">
        <v>3614</v>
      </c>
      <c r="U245" t="s">
        <v>3615</v>
      </c>
      <c r="V245" t="s">
        <v>3616</v>
      </c>
      <c r="W245" t="s">
        <v>3617</v>
      </c>
      <c r="X245" t="s">
        <v>3618</v>
      </c>
      <c r="Y245" t="s">
        <v>3619</v>
      </c>
      <c r="Z245" t="s">
        <v>3620</v>
      </c>
      <c r="AA245" t="s">
        <v>789</v>
      </c>
      <c r="AB245" t="s">
        <v>790</v>
      </c>
      <c r="AC245" t="s">
        <v>74</v>
      </c>
      <c r="AD245" t="s">
        <v>74</v>
      </c>
      <c r="AE245" t="s">
        <v>74</v>
      </c>
      <c r="AF245" t="s">
        <v>74</v>
      </c>
      <c r="AG245">
        <v>36</v>
      </c>
      <c r="AH245">
        <v>56</v>
      </c>
      <c r="AI245">
        <v>61</v>
      </c>
      <c r="AJ245">
        <v>1</v>
      </c>
      <c r="AK245">
        <v>28</v>
      </c>
      <c r="AL245" t="s">
        <v>1247</v>
      </c>
      <c r="AM245" t="s">
        <v>1248</v>
      </c>
      <c r="AN245" t="s">
        <v>1249</v>
      </c>
      <c r="AO245" t="s">
        <v>3606</v>
      </c>
      <c r="AP245" t="s">
        <v>3621</v>
      </c>
      <c r="AQ245" t="s">
        <v>74</v>
      </c>
      <c r="AR245" t="s">
        <v>3607</v>
      </c>
      <c r="AS245" t="s">
        <v>3608</v>
      </c>
      <c r="AT245" t="s">
        <v>3219</v>
      </c>
      <c r="AU245">
        <v>2001</v>
      </c>
      <c r="AV245">
        <v>46</v>
      </c>
      <c r="AW245">
        <v>9</v>
      </c>
      <c r="AX245" t="s">
        <v>74</v>
      </c>
      <c r="AY245" t="s">
        <v>74</v>
      </c>
      <c r="AZ245" t="s">
        <v>74</v>
      </c>
      <c r="BA245" t="s">
        <v>74</v>
      </c>
      <c r="BB245">
        <v>1279</v>
      </c>
      <c r="BC245">
        <v>1287</v>
      </c>
      <c r="BD245" t="s">
        <v>74</v>
      </c>
      <c r="BE245" t="s">
        <v>3622</v>
      </c>
      <c r="BF245" t="str">
        <f>HYPERLINK("http://dx.doi.org/10.1046/j.1365-2427.2001.00749.x","http://dx.doi.org/10.1046/j.1365-2427.2001.00749.x")</f>
        <v>http://dx.doi.org/10.1046/j.1365-2427.2001.00749.x</v>
      </c>
      <c r="BG245" t="s">
        <v>74</v>
      </c>
      <c r="BH245" t="s">
        <v>74</v>
      </c>
      <c r="BI245">
        <v>9</v>
      </c>
      <c r="BJ245" t="s">
        <v>429</v>
      </c>
      <c r="BK245" t="s">
        <v>88</v>
      </c>
      <c r="BL245" t="s">
        <v>89</v>
      </c>
      <c r="BM245" t="s">
        <v>3610</v>
      </c>
      <c r="BN245" t="s">
        <v>74</v>
      </c>
      <c r="BO245" t="s">
        <v>74</v>
      </c>
      <c r="BP245" t="s">
        <v>74</v>
      </c>
      <c r="BQ245" t="s">
        <v>74</v>
      </c>
      <c r="BR245" t="s">
        <v>91</v>
      </c>
      <c r="BS245" t="s">
        <v>3623</v>
      </c>
      <c r="BT245" t="str">
        <f>HYPERLINK("https%3A%2F%2Fwww.webofscience.com%2Fwos%2Fwoscc%2Ffull-record%2FWOS:000171284900011","View Full Record in Web of Science")</f>
        <v>View Full Record in Web of Science</v>
      </c>
    </row>
    <row r="246" spans="1:72" x14ac:dyDescent="0.15">
      <c r="A246" t="s">
        <v>72</v>
      </c>
      <c r="B246" t="s">
        <v>3624</v>
      </c>
      <c r="C246" t="s">
        <v>74</v>
      </c>
      <c r="D246" t="s">
        <v>74</v>
      </c>
      <c r="E246" t="s">
        <v>74</v>
      </c>
      <c r="F246" t="s">
        <v>3624</v>
      </c>
      <c r="G246" t="s">
        <v>74</v>
      </c>
      <c r="H246" t="s">
        <v>74</v>
      </c>
      <c r="I246" t="s">
        <v>3625</v>
      </c>
      <c r="J246" t="s">
        <v>3626</v>
      </c>
      <c r="K246" t="s">
        <v>74</v>
      </c>
      <c r="L246" t="s">
        <v>74</v>
      </c>
      <c r="M246" t="s">
        <v>77</v>
      </c>
      <c r="N246" t="s">
        <v>96</v>
      </c>
      <c r="O246" t="s">
        <v>74</v>
      </c>
      <c r="P246" t="s">
        <v>74</v>
      </c>
      <c r="Q246" t="s">
        <v>74</v>
      </c>
      <c r="R246" t="s">
        <v>74</v>
      </c>
      <c r="S246" t="s">
        <v>74</v>
      </c>
      <c r="T246" t="s">
        <v>74</v>
      </c>
      <c r="U246" t="s">
        <v>3627</v>
      </c>
      <c r="V246" t="s">
        <v>3628</v>
      </c>
      <c r="W246" t="s">
        <v>3629</v>
      </c>
      <c r="X246" t="s">
        <v>3630</v>
      </c>
      <c r="Y246" t="s">
        <v>3631</v>
      </c>
      <c r="Z246" t="s">
        <v>74</v>
      </c>
      <c r="AA246" t="s">
        <v>3632</v>
      </c>
      <c r="AB246" t="s">
        <v>3633</v>
      </c>
      <c r="AC246" t="s">
        <v>74</v>
      </c>
      <c r="AD246" t="s">
        <v>74</v>
      </c>
      <c r="AE246" t="s">
        <v>74</v>
      </c>
      <c r="AF246" t="s">
        <v>74</v>
      </c>
      <c r="AG246">
        <v>101</v>
      </c>
      <c r="AH246">
        <v>35</v>
      </c>
      <c r="AI246">
        <v>40</v>
      </c>
      <c r="AJ246">
        <v>0</v>
      </c>
      <c r="AK246">
        <v>34</v>
      </c>
      <c r="AL246" t="s">
        <v>79</v>
      </c>
      <c r="AM246" t="s">
        <v>80</v>
      </c>
      <c r="AN246" t="s">
        <v>81</v>
      </c>
      <c r="AO246" t="s">
        <v>3634</v>
      </c>
      <c r="AP246" t="s">
        <v>74</v>
      </c>
      <c r="AQ246" t="s">
        <v>74</v>
      </c>
      <c r="AR246" t="s">
        <v>3635</v>
      </c>
      <c r="AS246" t="s">
        <v>3636</v>
      </c>
      <c r="AT246" t="s">
        <v>3219</v>
      </c>
      <c r="AU246">
        <v>2001</v>
      </c>
      <c r="AV246">
        <v>65</v>
      </c>
      <c r="AW246">
        <v>17</v>
      </c>
      <c r="AX246" t="s">
        <v>74</v>
      </c>
      <c r="AY246" t="s">
        <v>74</v>
      </c>
      <c r="AZ246" t="s">
        <v>74</v>
      </c>
      <c r="BA246" t="s">
        <v>74</v>
      </c>
      <c r="BB246">
        <v>2875</v>
      </c>
      <c r="BC246">
        <v>2897</v>
      </c>
      <c r="BD246" t="s">
        <v>74</v>
      </c>
      <c r="BE246" t="s">
        <v>3637</v>
      </c>
      <c r="BF246" t="str">
        <f>HYPERLINK("http://dx.doi.org/10.1016/S0016-7037(01)00651-2","http://dx.doi.org/10.1016/S0016-7037(01)00651-2")</f>
        <v>http://dx.doi.org/10.1016/S0016-7037(01)00651-2</v>
      </c>
      <c r="BG246" t="s">
        <v>74</v>
      </c>
      <c r="BH246" t="s">
        <v>74</v>
      </c>
      <c r="BI246">
        <v>23</v>
      </c>
      <c r="BJ246" t="s">
        <v>388</v>
      </c>
      <c r="BK246" t="s">
        <v>88</v>
      </c>
      <c r="BL246" t="s">
        <v>388</v>
      </c>
      <c r="BM246" t="s">
        <v>3638</v>
      </c>
      <c r="BN246" t="s">
        <v>74</v>
      </c>
      <c r="BO246" t="s">
        <v>74</v>
      </c>
      <c r="BP246" t="s">
        <v>74</v>
      </c>
      <c r="BQ246" t="s">
        <v>74</v>
      </c>
      <c r="BR246" t="s">
        <v>91</v>
      </c>
      <c r="BS246" t="s">
        <v>3639</v>
      </c>
      <c r="BT246" t="str">
        <f>HYPERLINK("https%3A%2F%2Fwww.webofscience.com%2Fwos%2Fwoscc%2Ffull-record%2FWOS:000170977900006","View Full Record in Web of Science")</f>
        <v>View Full Record in Web of Science</v>
      </c>
    </row>
    <row r="247" spans="1:72" x14ac:dyDescent="0.15">
      <c r="A247" t="s">
        <v>72</v>
      </c>
      <c r="B247" t="s">
        <v>3640</v>
      </c>
      <c r="C247" t="s">
        <v>74</v>
      </c>
      <c r="D247" t="s">
        <v>74</v>
      </c>
      <c r="E247" t="s">
        <v>74</v>
      </c>
      <c r="F247" t="s">
        <v>3640</v>
      </c>
      <c r="G247" t="s">
        <v>74</v>
      </c>
      <c r="H247" t="s">
        <v>74</v>
      </c>
      <c r="I247" t="s">
        <v>3641</v>
      </c>
      <c r="J247" t="s">
        <v>3642</v>
      </c>
      <c r="K247" t="s">
        <v>74</v>
      </c>
      <c r="L247" t="s">
        <v>74</v>
      </c>
      <c r="M247" t="s">
        <v>77</v>
      </c>
      <c r="N247" t="s">
        <v>120</v>
      </c>
      <c r="O247" t="s">
        <v>74</v>
      </c>
      <c r="P247" t="s">
        <v>74</v>
      </c>
      <c r="Q247" t="s">
        <v>74</v>
      </c>
      <c r="R247" t="s">
        <v>74</v>
      </c>
      <c r="S247" t="s">
        <v>74</v>
      </c>
      <c r="T247" t="s">
        <v>74</v>
      </c>
      <c r="U247" t="s">
        <v>3643</v>
      </c>
      <c r="V247" t="s">
        <v>3644</v>
      </c>
      <c r="W247" t="s">
        <v>3645</v>
      </c>
      <c r="X247" t="s">
        <v>3646</v>
      </c>
      <c r="Y247" t="s">
        <v>3647</v>
      </c>
      <c r="Z247" t="s">
        <v>3648</v>
      </c>
      <c r="AA247" t="s">
        <v>3649</v>
      </c>
      <c r="AB247" t="s">
        <v>3650</v>
      </c>
      <c r="AC247" t="s">
        <v>74</v>
      </c>
      <c r="AD247" t="s">
        <v>74</v>
      </c>
      <c r="AE247" t="s">
        <v>74</v>
      </c>
      <c r="AF247" t="s">
        <v>74</v>
      </c>
      <c r="AG247">
        <v>76</v>
      </c>
      <c r="AH247">
        <v>34</v>
      </c>
      <c r="AI247">
        <v>37</v>
      </c>
      <c r="AJ247">
        <v>0</v>
      </c>
      <c r="AK247">
        <v>7</v>
      </c>
      <c r="AL247" t="s">
        <v>1293</v>
      </c>
      <c r="AM247" t="s">
        <v>204</v>
      </c>
      <c r="AN247" t="s">
        <v>1699</v>
      </c>
      <c r="AO247" t="s">
        <v>3651</v>
      </c>
      <c r="AP247" t="s">
        <v>3652</v>
      </c>
      <c r="AQ247" t="s">
        <v>74</v>
      </c>
      <c r="AR247" t="s">
        <v>3653</v>
      </c>
      <c r="AS247" t="s">
        <v>3654</v>
      </c>
      <c r="AT247" t="s">
        <v>3219</v>
      </c>
      <c r="AU247">
        <v>2001</v>
      </c>
      <c r="AV247">
        <v>138</v>
      </c>
      <c r="AW247">
        <v>5</v>
      </c>
      <c r="AX247" t="s">
        <v>74</v>
      </c>
      <c r="AY247" t="s">
        <v>74</v>
      </c>
      <c r="AZ247" t="s">
        <v>74</v>
      </c>
      <c r="BA247" t="s">
        <v>74</v>
      </c>
      <c r="BB247">
        <v>563</v>
      </c>
      <c r="BC247">
        <v>576</v>
      </c>
      <c r="BD247" t="s">
        <v>74</v>
      </c>
      <c r="BE247" t="s">
        <v>3655</v>
      </c>
      <c r="BF247" t="str">
        <f>HYPERLINK("http://dx.doi.org/10.1017/S0016756801005714","http://dx.doi.org/10.1017/S0016756801005714")</f>
        <v>http://dx.doi.org/10.1017/S0016756801005714</v>
      </c>
      <c r="BG247" t="s">
        <v>74</v>
      </c>
      <c r="BH247" t="s">
        <v>74</v>
      </c>
      <c r="BI247">
        <v>14</v>
      </c>
      <c r="BJ247" t="s">
        <v>300</v>
      </c>
      <c r="BK247" t="s">
        <v>88</v>
      </c>
      <c r="BL247" t="s">
        <v>113</v>
      </c>
      <c r="BM247" t="s">
        <v>3656</v>
      </c>
      <c r="BN247" t="s">
        <v>74</v>
      </c>
      <c r="BO247" t="s">
        <v>74</v>
      </c>
      <c r="BP247" t="s">
        <v>74</v>
      </c>
      <c r="BQ247" t="s">
        <v>74</v>
      </c>
      <c r="BR247" t="s">
        <v>91</v>
      </c>
      <c r="BS247" t="s">
        <v>3657</v>
      </c>
      <c r="BT247" t="str">
        <f>HYPERLINK("https%3A%2F%2Fwww.webofscience.com%2Fwos%2Fwoscc%2Ffull-record%2FWOS:000172599200003","View Full Record in Web of Science")</f>
        <v>View Full Record in Web of Science</v>
      </c>
    </row>
    <row r="248" spans="1:72" x14ac:dyDescent="0.15">
      <c r="A248" t="s">
        <v>72</v>
      </c>
      <c r="B248" t="s">
        <v>3658</v>
      </c>
      <c r="C248" t="s">
        <v>74</v>
      </c>
      <c r="D248" t="s">
        <v>74</v>
      </c>
      <c r="E248" t="s">
        <v>74</v>
      </c>
      <c r="F248" t="s">
        <v>3658</v>
      </c>
      <c r="G248" t="s">
        <v>74</v>
      </c>
      <c r="H248" t="s">
        <v>74</v>
      </c>
      <c r="I248" t="s">
        <v>3659</v>
      </c>
      <c r="J248" t="s">
        <v>2302</v>
      </c>
      <c r="K248" t="s">
        <v>74</v>
      </c>
      <c r="L248" t="s">
        <v>74</v>
      </c>
      <c r="M248" t="s">
        <v>77</v>
      </c>
      <c r="N248" t="s">
        <v>120</v>
      </c>
      <c r="O248" t="s">
        <v>74</v>
      </c>
      <c r="P248" t="s">
        <v>74</v>
      </c>
      <c r="Q248" t="s">
        <v>74</v>
      </c>
      <c r="R248" t="s">
        <v>74</v>
      </c>
      <c r="S248" t="s">
        <v>74</v>
      </c>
      <c r="T248" t="s">
        <v>3660</v>
      </c>
      <c r="U248" t="s">
        <v>3661</v>
      </c>
      <c r="V248" t="s">
        <v>3662</v>
      </c>
      <c r="W248" t="s">
        <v>1103</v>
      </c>
      <c r="X248" t="s">
        <v>462</v>
      </c>
      <c r="Y248" t="s">
        <v>3663</v>
      </c>
      <c r="Z248" t="s">
        <v>74</v>
      </c>
      <c r="AA248" t="s">
        <v>3375</v>
      </c>
      <c r="AB248" t="s">
        <v>74</v>
      </c>
      <c r="AC248" t="s">
        <v>74</v>
      </c>
      <c r="AD248" t="s">
        <v>74</v>
      </c>
      <c r="AE248" t="s">
        <v>74</v>
      </c>
      <c r="AF248" t="s">
        <v>74</v>
      </c>
      <c r="AG248">
        <v>30</v>
      </c>
      <c r="AH248">
        <v>135</v>
      </c>
      <c r="AI248">
        <v>147</v>
      </c>
      <c r="AJ248">
        <v>1</v>
      </c>
      <c r="AK248">
        <v>16</v>
      </c>
      <c r="AL248" t="s">
        <v>3664</v>
      </c>
      <c r="AM248" t="s">
        <v>792</v>
      </c>
      <c r="AN248" t="s">
        <v>2312</v>
      </c>
      <c r="AO248" t="s">
        <v>2313</v>
      </c>
      <c r="AP248" t="s">
        <v>74</v>
      </c>
      <c r="AQ248" t="s">
        <v>74</v>
      </c>
      <c r="AR248" t="s">
        <v>2302</v>
      </c>
      <c r="AS248" t="s">
        <v>113</v>
      </c>
      <c r="AT248" t="s">
        <v>3219</v>
      </c>
      <c r="AU248">
        <v>2001</v>
      </c>
      <c r="AV248">
        <v>29</v>
      </c>
      <c r="AW248">
        <v>9</v>
      </c>
      <c r="AX248" t="s">
        <v>74</v>
      </c>
      <c r="AY248" t="s">
        <v>74</v>
      </c>
      <c r="AZ248" t="s">
        <v>74</v>
      </c>
      <c r="BA248" t="s">
        <v>74</v>
      </c>
      <c r="BB248">
        <v>787</v>
      </c>
      <c r="BC248">
        <v>790</v>
      </c>
      <c r="BD248" t="s">
        <v>74</v>
      </c>
      <c r="BE248" t="s">
        <v>3665</v>
      </c>
      <c r="BF248" t="str">
        <f>HYPERLINK("http://dx.doi.org/10.1130/0091-7613(2001)029&lt;0787:FSOASI&gt;2.0.CO;2","http://dx.doi.org/10.1130/0091-7613(2001)029&lt;0787:FSOASI&gt;2.0.CO;2")</f>
        <v>http://dx.doi.org/10.1130/0091-7613(2001)029&lt;0787:FSOASI&gt;2.0.CO;2</v>
      </c>
      <c r="BG248" t="s">
        <v>74</v>
      </c>
      <c r="BH248" t="s">
        <v>74</v>
      </c>
      <c r="BI248">
        <v>4</v>
      </c>
      <c r="BJ248" t="s">
        <v>113</v>
      </c>
      <c r="BK248" t="s">
        <v>88</v>
      </c>
      <c r="BL248" t="s">
        <v>113</v>
      </c>
      <c r="BM248" t="s">
        <v>3666</v>
      </c>
      <c r="BN248" t="s">
        <v>74</v>
      </c>
      <c r="BO248" t="s">
        <v>74</v>
      </c>
      <c r="BP248" t="s">
        <v>74</v>
      </c>
      <c r="BQ248" t="s">
        <v>74</v>
      </c>
      <c r="BR248" t="s">
        <v>91</v>
      </c>
      <c r="BS248" t="s">
        <v>3667</v>
      </c>
      <c r="BT248" t="str">
        <f>HYPERLINK("https%3A%2F%2Fwww.webofscience.com%2Fwos%2Fwoscc%2Ffull-record%2FWOS:000170863000007","View Full Record in Web of Science")</f>
        <v>View Full Record in Web of Science</v>
      </c>
    </row>
    <row r="249" spans="1:72" x14ac:dyDescent="0.15">
      <c r="A249" t="s">
        <v>72</v>
      </c>
      <c r="B249" t="s">
        <v>3668</v>
      </c>
      <c r="C249" t="s">
        <v>74</v>
      </c>
      <c r="D249" t="s">
        <v>74</v>
      </c>
      <c r="E249" t="s">
        <v>74</v>
      </c>
      <c r="F249" t="s">
        <v>3668</v>
      </c>
      <c r="G249" t="s">
        <v>74</v>
      </c>
      <c r="H249" t="s">
        <v>74</v>
      </c>
      <c r="I249" t="s">
        <v>3669</v>
      </c>
      <c r="J249" t="s">
        <v>3670</v>
      </c>
      <c r="K249" t="s">
        <v>74</v>
      </c>
      <c r="L249" t="s">
        <v>74</v>
      </c>
      <c r="M249" t="s">
        <v>77</v>
      </c>
      <c r="N249" t="s">
        <v>120</v>
      </c>
      <c r="O249" t="s">
        <v>74</v>
      </c>
      <c r="P249" t="s">
        <v>74</v>
      </c>
      <c r="Q249" t="s">
        <v>74</v>
      </c>
      <c r="R249" t="s">
        <v>74</v>
      </c>
      <c r="S249" t="s">
        <v>74</v>
      </c>
      <c r="T249" t="s">
        <v>74</v>
      </c>
      <c r="U249" t="s">
        <v>3671</v>
      </c>
      <c r="V249" t="s">
        <v>3672</v>
      </c>
      <c r="W249" t="s">
        <v>3673</v>
      </c>
      <c r="X249" t="s">
        <v>3674</v>
      </c>
      <c r="Y249" t="s">
        <v>3675</v>
      </c>
      <c r="Z249" t="s">
        <v>74</v>
      </c>
      <c r="AA249" t="s">
        <v>3676</v>
      </c>
      <c r="AB249" t="s">
        <v>3677</v>
      </c>
      <c r="AC249" t="s">
        <v>74</v>
      </c>
      <c r="AD249" t="s">
        <v>74</v>
      </c>
      <c r="AE249" t="s">
        <v>74</v>
      </c>
      <c r="AF249" t="s">
        <v>74</v>
      </c>
      <c r="AG249">
        <v>19</v>
      </c>
      <c r="AH249">
        <v>0</v>
      </c>
      <c r="AI249">
        <v>0</v>
      </c>
      <c r="AJ249">
        <v>0</v>
      </c>
      <c r="AK249">
        <v>0</v>
      </c>
      <c r="AL249" t="s">
        <v>3678</v>
      </c>
      <c r="AM249" t="s">
        <v>3679</v>
      </c>
      <c r="AN249" t="s">
        <v>3680</v>
      </c>
      <c r="AO249" t="s">
        <v>3681</v>
      </c>
      <c r="AP249" t="s">
        <v>74</v>
      </c>
      <c r="AQ249" t="s">
        <v>74</v>
      </c>
      <c r="AR249" t="s">
        <v>3682</v>
      </c>
      <c r="AS249" t="s">
        <v>3683</v>
      </c>
      <c r="AT249" t="s">
        <v>3453</v>
      </c>
      <c r="AU249">
        <v>2001</v>
      </c>
      <c r="AV249">
        <v>41</v>
      </c>
      <c r="AW249">
        <v>5</v>
      </c>
      <c r="AX249" t="s">
        <v>74</v>
      </c>
      <c r="AY249" t="s">
        <v>74</v>
      </c>
      <c r="AZ249" t="s">
        <v>74</v>
      </c>
      <c r="BA249" t="s">
        <v>74</v>
      </c>
      <c r="BB249">
        <v>623</v>
      </c>
      <c r="BC249">
        <v>631</v>
      </c>
      <c r="BD249" t="s">
        <v>74</v>
      </c>
      <c r="BE249" t="s">
        <v>74</v>
      </c>
      <c r="BF249" t="s">
        <v>74</v>
      </c>
      <c r="BG249" t="s">
        <v>74</v>
      </c>
      <c r="BH249" t="s">
        <v>74</v>
      </c>
      <c r="BI249">
        <v>9</v>
      </c>
      <c r="BJ249" t="s">
        <v>388</v>
      </c>
      <c r="BK249" t="s">
        <v>88</v>
      </c>
      <c r="BL249" t="s">
        <v>388</v>
      </c>
      <c r="BM249" t="s">
        <v>3684</v>
      </c>
      <c r="BN249" t="s">
        <v>74</v>
      </c>
      <c r="BO249" t="s">
        <v>74</v>
      </c>
      <c r="BP249" t="s">
        <v>74</v>
      </c>
      <c r="BQ249" t="s">
        <v>74</v>
      </c>
      <c r="BR249" t="s">
        <v>91</v>
      </c>
      <c r="BS249" t="s">
        <v>3685</v>
      </c>
      <c r="BT249" t="str">
        <f>HYPERLINK("https%3A%2F%2Fwww.webofscience.com%2Fwos%2Fwoscc%2Ffull-record%2FWOS:000171830500013","View Full Record in Web of Science")</f>
        <v>View Full Record in Web of Science</v>
      </c>
    </row>
    <row r="250" spans="1:72" x14ac:dyDescent="0.15">
      <c r="A250" t="s">
        <v>72</v>
      </c>
      <c r="B250" t="s">
        <v>3686</v>
      </c>
      <c r="C250" t="s">
        <v>74</v>
      </c>
      <c r="D250" t="s">
        <v>74</v>
      </c>
      <c r="E250" t="s">
        <v>74</v>
      </c>
      <c r="F250" t="s">
        <v>3686</v>
      </c>
      <c r="G250" t="s">
        <v>74</v>
      </c>
      <c r="H250" t="s">
        <v>74</v>
      </c>
      <c r="I250" t="s">
        <v>3687</v>
      </c>
      <c r="J250" t="s">
        <v>613</v>
      </c>
      <c r="K250" t="s">
        <v>74</v>
      </c>
      <c r="L250" t="s">
        <v>74</v>
      </c>
      <c r="M250" t="s">
        <v>77</v>
      </c>
      <c r="N250" t="s">
        <v>120</v>
      </c>
      <c r="O250" t="s">
        <v>74</v>
      </c>
      <c r="P250" t="s">
        <v>74</v>
      </c>
      <c r="Q250" t="s">
        <v>74</v>
      </c>
      <c r="R250" t="s">
        <v>74</v>
      </c>
      <c r="S250" t="s">
        <v>74</v>
      </c>
      <c r="T250" t="s">
        <v>74</v>
      </c>
      <c r="U250" t="s">
        <v>3688</v>
      </c>
      <c r="V250" t="s">
        <v>3689</v>
      </c>
      <c r="W250" t="s">
        <v>3690</v>
      </c>
      <c r="X250" t="s">
        <v>3691</v>
      </c>
      <c r="Y250" t="s">
        <v>3692</v>
      </c>
      <c r="Z250" t="s">
        <v>74</v>
      </c>
      <c r="AA250" t="s">
        <v>3693</v>
      </c>
      <c r="AB250" t="s">
        <v>3694</v>
      </c>
      <c r="AC250" t="s">
        <v>74</v>
      </c>
      <c r="AD250" t="s">
        <v>74</v>
      </c>
      <c r="AE250" t="s">
        <v>74</v>
      </c>
      <c r="AF250" t="s">
        <v>74</v>
      </c>
      <c r="AG250">
        <v>17</v>
      </c>
      <c r="AH250">
        <v>30</v>
      </c>
      <c r="AI250">
        <v>34</v>
      </c>
      <c r="AJ250">
        <v>0</v>
      </c>
      <c r="AK250">
        <v>3</v>
      </c>
      <c r="AL250" t="s">
        <v>149</v>
      </c>
      <c r="AM250" t="s">
        <v>150</v>
      </c>
      <c r="AN250" t="s">
        <v>151</v>
      </c>
      <c r="AO250" t="s">
        <v>619</v>
      </c>
      <c r="AP250" t="s">
        <v>74</v>
      </c>
      <c r="AQ250" t="s">
        <v>74</v>
      </c>
      <c r="AR250" t="s">
        <v>620</v>
      </c>
      <c r="AS250" t="s">
        <v>621</v>
      </c>
      <c r="AT250" t="s">
        <v>3235</v>
      </c>
      <c r="AU250">
        <v>2001</v>
      </c>
      <c r="AV250">
        <v>28</v>
      </c>
      <c r="AW250">
        <v>17</v>
      </c>
      <c r="AX250" t="s">
        <v>74</v>
      </c>
      <c r="AY250" t="s">
        <v>74</v>
      </c>
      <c r="AZ250" t="s">
        <v>74</v>
      </c>
      <c r="BA250" t="s">
        <v>74</v>
      </c>
      <c r="BB250">
        <v>3301</v>
      </c>
      <c r="BC250">
        <v>3304</v>
      </c>
      <c r="BD250" t="s">
        <v>74</v>
      </c>
      <c r="BE250" t="s">
        <v>3695</v>
      </c>
      <c r="BF250" t="str">
        <f>HYPERLINK("http://dx.doi.org/10.1029/2001GL012991","http://dx.doi.org/10.1029/2001GL012991")</f>
        <v>http://dx.doi.org/10.1029/2001GL012991</v>
      </c>
      <c r="BG250" t="s">
        <v>74</v>
      </c>
      <c r="BH250" t="s">
        <v>74</v>
      </c>
      <c r="BI250">
        <v>4</v>
      </c>
      <c r="BJ250" t="s">
        <v>300</v>
      </c>
      <c r="BK250" t="s">
        <v>88</v>
      </c>
      <c r="BL250" t="s">
        <v>113</v>
      </c>
      <c r="BM250" t="s">
        <v>3696</v>
      </c>
      <c r="BN250" t="s">
        <v>74</v>
      </c>
      <c r="BO250" t="s">
        <v>171</v>
      </c>
      <c r="BP250" t="s">
        <v>74</v>
      </c>
      <c r="BQ250" t="s">
        <v>74</v>
      </c>
      <c r="BR250" t="s">
        <v>91</v>
      </c>
      <c r="BS250" t="s">
        <v>3697</v>
      </c>
      <c r="BT250" t="str">
        <f>HYPERLINK("https%3A%2F%2Fwww.webofscience.com%2Fwos%2Fwoscc%2Ffull-record%2FWOS:000170698700023","View Full Record in Web of Science")</f>
        <v>View Full Record in Web of Science</v>
      </c>
    </row>
    <row r="251" spans="1:72" x14ac:dyDescent="0.15">
      <c r="A251" t="s">
        <v>72</v>
      </c>
      <c r="B251" t="s">
        <v>3698</v>
      </c>
      <c r="C251" t="s">
        <v>74</v>
      </c>
      <c r="D251" t="s">
        <v>74</v>
      </c>
      <c r="E251" t="s">
        <v>74</v>
      </c>
      <c r="F251" t="s">
        <v>3698</v>
      </c>
      <c r="G251" t="s">
        <v>74</v>
      </c>
      <c r="H251" t="s">
        <v>74</v>
      </c>
      <c r="I251" t="s">
        <v>3699</v>
      </c>
      <c r="J251" t="s">
        <v>3700</v>
      </c>
      <c r="K251" t="s">
        <v>74</v>
      </c>
      <c r="L251" t="s">
        <v>74</v>
      </c>
      <c r="M251" t="s">
        <v>77</v>
      </c>
      <c r="N251" t="s">
        <v>120</v>
      </c>
      <c r="O251" t="s">
        <v>74</v>
      </c>
      <c r="P251" t="s">
        <v>74</v>
      </c>
      <c r="Q251" t="s">
        <v>74</v>
      </c>
      <c r="R251" t="s">
        <v>74</v>
      </c>
      <c r="S251" t="s">
        <v>74</v>
      </c>
      <c r="T251" t="s">
        <v>74</v>
      </c>
      <c r="U251" t="s">
        <v>3701</v>
      </c>
      <c r="V251" t="s">
        <v>3702</v>
      </c>
      <c r="W251" t="s">
        <v>3703</v>
      </c>
      <c r="X251" t="s">
        <v>3704</v>
      </c>
      <c r="Y251" t="s">
        <v>3705</v>
      </c>
      <c r="Z251" t="s">
        <v>74</v>
      </c>
      <c r="AA251" t="s">
        <v>74</v>
      </c>
      <c r="AB251" t="s">
        <v>74</v>
      </c>
      <c r="AC251" t="s">
        <v>74</v>
      </c>
      <c r="AD251" t="s">
        <v>74</v>
      </c>
      <c r="AE251" t="s">
        <v>74</v>
      </c>
      <c r="AF251" t="s">
        <v>74</v>
      </c>
      <c r="AG251">
        <v>45</v>
      </c>
      <c r="AH251">
        <v>45</v>
      </c>
      <c r="AI251">
        <v>55</v>
      </c>
      <c r="AJ251">
        <v>2</v>
      </c>
      <c r="AK251">
        <v>24</v>
      </c>
      <c r="AL251" t="s">
        <v>149</v>
      </c>
      <c r="AM251" t="s">
        <v>150</v>
      </c>
      <c r="AN251" t="s">
        <v>151</v>
      </c>
      <c r="AO251" t="s">
        <v>3706</v>
      </c>
      <c r="AP251" t="s">
        <v>74</v>
      </c>
      <c r="AQ251" t="s">
        <v>74</v>
      </c>
      <c r="AR251" t="s">
        <v>3707</v>
      </c>
      <c r="AS251" t="s">
        <v>3708</v>
      </c>
      <c r="AT251" t="s">
        <v>3219</v>
      </c>
      <c r="AU251">
        <v>2001</v>
      </c>
      <c r="AV251">
        <v>15</v>
      </c>
      <c r="AW251">
        <v>3</v>
      </c>
      <c r="AX251" t="s">
        <v>74</v>
      </c>
      <c r="AY251" t="s">
        <v>74</v>
      </c>
      <c r="AZ251" t="s">
        <v>74</v>
      </c>
      <c r="BA251" t="s">
        <v>74</v>
      </c>
      <c r="BB251">
        <v>555</v>
      </c>
      <c r="BC251">
        <v>567</v>
      </c>
      <c r="BD251" t="s">
        <v>74</v>
      </c>
      <c r="BE251" t="s">
        <v>3709</v>
      </c>
      <c r="BF251" t="str">
        <f>HYPERLINK("http://dx.doi.org/10.1029/2000GB001309","http://dx.doi.org/10.1029/2000GB001309")</f>
        <v>http://dx.doi.org/10.1029/2000GB001309</v>
      </c>
      <c r="BG251" t="s">
        <v>74</v>
      </c>
      <c r="BH251" t="s">
        <v>74</v>
      </c>
      <c r="BI251">
        <v>13</v>
      </c>
      <c r="BJ251" t="s">
        <v>3710</v>
      </c>
      <c r="BK251" t="s">
        <v>88</v>
      </c>
      <c r="BL251" t="s">
        <v>3711</v>
      </c>
      <c r="BM251" t="s">
        <v>3712</v>
      </c>
      <c r="BN251" t="s">
        <v>74</v>
      </c>
      <c r="BO251" t="s">
        <v>74</v>
      </c>
      <c r="BP251" t="s">
        <v>74</v>
      </c>
      <c r="BQ251" t="s">
        <v>74</v>
      </c>
      <c r="BR251" t="s">
        <v>91</v>
      </c>
      <c r="BS251" t="s">
        <v>3713</v>
      </c>
      <c r="BT251" t="str">
        <f>HYPERLINK("https%3A%2F%2Fwww.webofscience.com%2Fwos%2Fwoscc%2Ffull-record%2FWOS:000170780900002","View Full Record in Web of Science")</f>
        <v>View Full Record in Web of Science</v>
      </c>
    </row>
    <row r="252" spans="1:72" x14ac:dyDescent="0.15">
      <c r="A252" t="s">
        <v>72</v>
      </c>
      <c r="B252" t="s">
        <v>3714</v>
      </c>
      <c r="C252" t="s">
        <v>74</v>
      </c>
      <c r="D252" t="s">
        <v>74</v>
      </c>
      <c r="E252" t="s">
        <v>74</v>
      </c>
      <c r="F252" t="s">
        <v>3714</v>
      </c>
      <c r="G252" t="s">
        <v>74</v>
      </c>
      <c r="H252" t="s">
        <v>74</v>
      </c>
      <c r="I252" t="s">
        <v>3715</v>
      </c>
      <c r="J252" t="s">
        <v>3700</v>
      </c>
      <c r="K252" t="s">
        <v>74</v>
      </c>
      <c r="L252" t="s">
        <v>74</v>
      </c>
      <c r="M252" t="s">
        <v>77</v>
      </c>
      <c r="N252" t="s">
        <v>120</v>
      </c>
      <c r="O252" t="s">
        <v>74</v>
      </c>
      <c r="P252" t="s">
        <v>74</v>
      </c>
      <c r="Q252" t="s">
        <v>74</v>
      </c>
      <c r="R252" t="s">
        <v>74</v>
      </c>
      <c r="S252" t="s">
        <v>74</v>
      </c>
      <c r="T252" t="s">
        <v>74</v>
      </c>
      <c r="U252" t="s">
        <v>3716</v>
      </c>
      <c r="V252" t="s">
        <v>3717</v>
      </c>
      <c r="W252" t="s">
        <v>3718</v>
      </c>
      <c r="X252" t="s">
        <v>3719</v>
      </c>
      <c r="Y252" t="s">
        <v>3720</v>
      </c>
      <c r="Z252" t="s">
        <v>74</v>
      </c>
      <c r="AA252" t="s">
        <v>3721</v>
      </c>
      <c r="AB252" t="s">
        <v>3722</v>
      </c>
      <c r="AC252" t="s">
        <v>74</v>
      </c>
      <c r="AD252" t="s">
        <v>74</v>
      </c>
      <c r="AE252" t="s">
        <v>74</v>
      </c>
      <c r="AF252" t="s">
        <v>74</v>
      </c>
      <c r="AG252">
        <v>31</v>
      </c>
      <c r="AH252">
        <v>56</v>
      </c>
      <c r="AI252">
        <v>59</v>
      </c>
      <c r="AJ252">
        <v>0</v>
      </c>
      <c r="AK252">
        <v>13</v>
      </c>
      <c r="AL252" t="s">
        <v>149</v>
      </c>
      <c r="AM252" t="s">
        <v>150</v>
      </c>
      <c r="AN252" t="s">
        <v>151</v>
      </c>
      <c r="AO252" t="s">
        <v>3706</v>
      </c>
      <c r="AP252" t="s">
        <v>3723</v>
      </c>
      <c r="AQ252" t="s">
        <v>74</v>
      </c>
      <c r="AR252" t="s">
        <v>3707</v>
      </c>
      <c r="AS252" t="s">
        <v>3708</v>
      </c>
      <c r="AT252" t="s">
        <v>3219</v>
      </c>
      <c r="AU252">
        <v>2001</v>
      </c>
      <c r="AV252">
        <v>15</v>
      </c>
      <c r="AW252">
        <v>3</v>
      </c>
      <c r="AX252" t="s">
        <v>74</v>
      </c>
      <c r="AY252" t="s">
        <v>74</v>
      </c>
      <c r="AZ252" t="s">
        <v>74</v>
      </c>
      <c r="BA252" t="s">
        <v>74</v>
      </c>
      <c r="BB252">
        <v>597</v>
      </c>
      <c r="BC252">
        <v>613</v>
      </c>
      <c r="BD252" t="s">
        <v>74</v>
      </c>
      <c r="BE252" t="s">
        <v>3724</v>
      </c>
      <c r="BF252" t="str">
        <f>HYPERLINK("http://dx.doi.org/10.1029/2000GB001352","http://dx.doi.org/10.1029/2000GB001352")</f>
        <v>http://dx.doi.org/10.1029/2000GB001352</v>
      </c>
      <c r="BG252" t="s">
        <v>74</v>
      </c>
      <c r="BH252" t="s">
        <v>74</v>
      </c>
      <c r="BI252">
        <v>17</v>
      </c>
      <c r="BJ252" t="s">
        <v>3710</v>
      </c>
      <c r="BK252" t="s">
        <v>88</v>
      </c>
      <c r="BL252" t="s">
        <v>3711</v>
      </c>
      <c r="BM252" t="s">
        <v>3712</v>
      </c>
      <c r="BN252" t="s">
        <v>74</v>
      </c>
      <c r="BO252" t="s">
        <v>171</v>
      </c>
      <c r="BP252" t="s">
        <v>74</v>
      </c>
      <c r="BQ252" t="s">
        <v>74</v>
      </c>
      <c r="BR252" t="s">
        <v>91</v>
      </c>
      <c r="BS252" t="s">
        <v>3725</v>
      </c>
      <c r="BT252" t="str">
        <f>HYPERLINK("https%3A%2F%2Fwww.webofscience.com%2Fwos%2Fwoscc%2Ffull-record%2FWOS:000170780900006","View Full Record in Web of Science")</f>
        <v>View Full Record in Web of Science</v>
      </c>
    </row>
    <row r="253" spans="1:72" x14ac:dyDescent="0.15">
      <c r="A253" t="s">
        <v>72</v>
      </c>
      <c r="B253" t="s">
        <v>3726</v>
      </c>
      <c r="C253" t="s">
        <v>74</v>
      </c>
      <c r="D253" t="s">
        <v>74</v>
      </c>
      <c r="E253" t="s">
        <v>74</v>
      </c>
      <c r="F253" t="s">
        <v>3726</v>
      </c>
      <c r="G253" t="s">
        <v>74</v>
      </c>
      <c r="H253" t="s">
        <v>74</v>
      </c>
      <c r="I253" t="s">
        <v>3727</v>
      </c>
      <c r="J253" t="s">
        <v>1180</v>
      </c>
      <c r="K253" t="s">
        <v>74</v>
      </c>
      <c r="L253" t="s">
        <v>74</v>
      </c>
      <c r="M253" t="s">
        <v>77</v>
      </c>
      <c r="N253" t="s">
        <v>120</v>
      </c>
      <c r="O253" t="s">
        <v>74</v>
      </c>
      <c r="P253" t="s">
        <v>74</v>
      </c>
      <c r="Q253" t="s">
        <v>74</v>
      </c>
      <c r="R253" t="s">
        <v>74</v>
      </c>
      <c r="S253" t="s">
        <v>74</v>
      </c>
      <c r="T253" t="s">
        <v>3728</v>
      </c>
      <c r="U253" t="s">
        <v>3729</v>
      </c>
      <c r="V253" t="s">
        <v>3730</v>
      </c>
      <c r="W253" t="s">
        <v>3731</v>
      </c>
      <c r="X253" t="s">
        <v>74</v>
      </c>
      <c r="Y253" t="s">
        <v>3732</v>
      </c>
      <c r="Z253" t="s">
        <v>74</v>
      </c>
      <c r="AA253" t="s">
        <v>74</v>
      </c>
      <c r="AB253" t="s">
        <v>3733</v>
      </c>
      <c r="AC253" t="s">
        <v>74</v>
      </c>
      <c r="AD253" t="s">
        <v>74</v>
      </c>
      <c r="AE253" t="s">
        <v>74</v>
      </c>
      <c r="AF253" t="s">
        <v>74</v>
      </c>
      <c r="AG253">
        <v>48</v>
      </c>
      <c r="AH253">
        <v>321</v>
      </c>
      <c r="AI253">
        <v>341</v>
      </c>
      <c r="AJ253">
        <v>2</v>
      </c>
      <c r="AK253">
        <v>31</v>
      </c>
      <c r="AL253" t="s">
        <v>1189</v>
      </c>
      <c r="AM253" t="s">
        <v>1190</v>
      </c>
      <c r="AN253" t="s">
        <v>1191</v>
      </c>
      <c r="AO253" t="s">
        <v>1192</v>
      </c>
      <c r="AP253" t="s">
        <v>74</v>
      </c>
      <c r="AQ253" t="s">
        <v>74</v>
      </c>
      <c r="AR253" t="s">
        <v>1193</v>
      </c>
      <c r="AS253" t="s">
        <v>1194</v>
      </c>
      <c r="AT253" t="s">
        <v>3219</v>
      </c>
      <c r="AU253">
        <v>2001</v>
      </c>
      <c r="AV253">
        <v>51</v>
      </c>
      <c r="AW253" t="s">
        <v>74</v>
      </c>
      <c r="AX253">
        <v>5</v>
      </c>
      <c r="AY253" t="s">
        <v>74</v>
      </c>
      <c r="AZ253" t="s">
        <v>74</v>
      </c>
      <c r="BA253" t="s">
        <v>74</v>
      </c>
      <c r="BB253">
        <v>1639</v>
      </c>
      <c r="BC253">
        <v>1652</v>
      </c>
      <c r="BD253" t="s">
        <v>74</v>
      </c>
      <c r="BE253" t="s">
        <v>3734</v>
      </c>
      <c r="BF253" t="str">
        <f>HYPERLINK("http://dx.doi.org/10.1099/00207713-51-5-1639","http://dx.doi.org/10.1099/00207713-51-5-1639")</f>
        <v>http://dx.doi.org/10.1099/00207713-51-5-1639</v>
      </c>
      <c r="BG253" t="s">
        <v>74</v>
      </c>
      <c r="BH253" t="s">
        <v>74</v>
      </c>
      <c r="BI253">
        <v>14</v>
      </c>
      <c r="BJ253" t="s">
        <v>1196</v>
      </c>
      <c r="BK253" t="s">
        <v>88</v>
      </c>
      <c r="BL253" t="s">
        <v>1196</v>
      </c>
      <c r="BM253" t="s">
        <v>3735</v>
      </c>
      <c r="BN253">
        <v>11594591</v>
      </c>
      <c r="BO253" t="s">
        <v>171</v>
      </c>
      <c r="BP253" t="s">
        <v>74</v>
      </c>
      <c r="BQ253" t="s">
        <v>74</v>
      </c>
      <c r="BR253" t="s">
        <v>91</v>
      </c>
      <c r="BS253" t="s">
        <v>3736</v>
      </c>
      <c r="BT253" t="str">
        <f>HYPERLINK("https%3A%2F%2Fwww.webofscience.com%2Fwos%2Fwoscc%2Ffull-record%2FWOS:000171162800003","View Full Record in Web of Science")</f>
        <v>View Full Record in Web of Science</v>
      </c>
    </row>
    <row r="254" spans="1:72" x14ac:dyDescent="0.15">
      <c r="A254" t="s">
        <v>72</v>
      </c>
      <c r="B254" t="s">
        <v>3737</v>
      </c>
      <c r="C254" t="s">
        <v>74</v>
      </c>
      <c r="D254" t="s">
        <v>74</v>
      </c>
      <c r="E254" t="s">
        <v>74</v>
      </c>
      <c r="F254" t="s">
        <v>3737</v>
      </c>
      <c r="G254" t="s">
        <v>74</v>
      </c>
      <c r="H254" t="s">
        <v>74</v>
      </c>
      <c r="I254" t="s">
        <v>3738</v>
      </c>
      <c r="J254" t="s">
        <v>3739</v>
      </c>
      <c r="K254" t="s">
        <v>74</v>
      </c>
      <c r="L254" t="s">
        <v>74</v>
      </c>
      <c r="M254" t="s">
        <v>77</v>
      </c>
      <c r="N254" t="s">
        <v>120</v>
      </c>
      <c r="O254" t="s">
        <v>74</v>
      </c>
      <c r="P254" t="s">
        <v>74</v>
      </c>
      <c r="Q254" t="s">
        <v>74</v>
      </c>
      <c r="R254" t="s">
        <v>74</v>
      </c>
      <c r="S254" t="s">
        <v>74</v>
      </c>
      <c r="T254" t="s">
        <v>74</v>
      </c>
      <c r="U254" t="s">
        <v>3740</v>
      </c>
      <c r="V254" t="s">
        <v>3741</v>
      </c>
      <c r="W254" t="s">
        <v>3742</v>
      </c>
      <c r="X254" t="s">
        <v>3743</v>
      </c>
      <c r="Y254" t="s">
        <v>3744</v>
      </c>
      <c r="Z254" t="s">
        <v>3745</v>
      </c>
      <c r="AA254" t="s">
        <v>74</v>
      </c>
      <c r="AB254" t="s">
        <v>74</v>
      </c>
      <c r="AC254" t="s">
        <v>74</v>
      </c>
      <c r="AD254" t="s">
        <v>74</v>
      </c>
      <c r="AE254" t="s">
        <v>74</v>
      </c>
      <c r="AF254" t="s">
        <v>74</v>
      </c>
      <c r="AG254">
        <v>27</v>
      </c>
      <c r="AH254">
        <v>1</v>
      </c>
      <c r="AI254">
        <v>1</v>
      </c>
      <c r="AJ254">
        <v>0</v>
      </c>
      <c r="AK254">
        <v>1</v>
      </c>
      <c r="AL254" t="s">
        <v>1494</v>
      </c>
      <c r="AM254" t="s">
        <v>204</v>
      </c>
      <c r="AN254" t="s">
        <v>1495</v>
      </c>
      <c r="AO254" t="s">
        <v>3746</v>
      </c>
      <c r="AP254" t="s">
        <v>3747</v>
      </c>
      <c r="AQ254" t="s">
        <v>74</v>
      </c>
      <c r="AR254" t="s">
        <v>3748</v>
      </c>
      <c r="AS254" t="s">
        <v>3749</v>
      </c>
      <c r="AT254" t="s">
        <v>3453</v>
      </c>
      <c r="AU254">
        <v>2001</v>
      </c>
      <c r="AV254">
        <v>37</v>
      </c>
      <c r="AW254">
        <v>5</v>
      </c>
      <c r="AX254" t="s">
        <v>74</v>
      </c>
      <c r="AY254" t="s">
        <v>74</v>
      </c>
      <c r="AZ254" t="s">
        <v>74</v>
      </c>
      <c r="BA254" t="s">
        <v>74</v>
      </c>
      <c r="BB254">
        <v>661</v>
      </c>
      <c r="BC254">
        <v>670</v>
      </c>
      <c r="BD254" t="s">
        <v>74</v>
      </c>
      <c r="BE254" t="s">
        <v>74</v>
      </c>
      <c r="BF254" t="s">
        <v>74</v>
      </c>
      <c r="BG254" t="s">
        <v>74</v>
      </c>
      <c r="BH254" t="s">
        <v>74</v>
      </c>
      <c r="BI254">
        <v>10</v>
      </c>
      <c r="BJ254" t="s">
        <v>3750</v>
      </c>
      <c r="BK254" t="s">
        <v>88</v>
      </c>
      <c r="BL254" t="s">
        <v>3750</v>
      </c>
      <c r="BM254" t="s">
        <v>3751</v>
      </c>
      <c r="BN254" t="s">
        <v>74</v>
      </c>
      <c r="BO254" t="s">
        <v>74</v>
      </c>
      <c r="BP254" t="s">
        <v>74</v>
      </c>
      <c r="BQ254" t="s">
        <v>74</v>
      </c>
      <c r="BR254" t="s">
        <v>91</v>
      </c>
      <c r="BS254" t="s">
        <v>3752</v>
      </c>
      <c r="BT254" t="str">
        <f>HYPERLINK("https%3A%2F%2Fwww.webofscience.com%2Fwos%2Fwoscc%2Ffull-record%2FWOS:000171836600014","View Full Record in Web of Science")</f>
        <v>View Full Record in Web of Science</v>
      </c>
    </row>
    <row r="255" spans="1:72" x14ac:dyDescent="0.15">
      <c r="A255" t="s">
        <v>72</v>
      </c>
      <c r="B255" t="s">
        <v>3753</v>
      </c>
      <c r="C255" t="s">
        <v>74</v>
      </c>
      <c r="D255" t="s">
        <v>74</v>
      </c>
      <c r="E255" t="s">
        <v>74</v>
      </c>
      <c r="F255" t="s">
        <v>3753</v>
      </c>
      <c r="G255" t="s">
        <v>74</v>
      </c>
      <c r="H255" t="s">
        <v>74</v>
      </c>
      <c r="I255" t="s">
        <v>3754</v>
      </c>
      <c r="J255" t="s">
        <v>3755</v>
      </c>
      <c r="K255" t="s">
        <v>74</v>
      </c>
      <c r="L255" t="s">
        <v>74</v>
      </c>
      <c r="M255" t="s">
        <v>77</v>
      </c>
      <c r="N255" t="s">
        <v>120</v>
      </c>
      <c r="O255" t="s">
        <v>74</v>
      </c>
      <c r="P255" t="s">
        <v>74</v>
      </c>
      <c r="Q255" t="s">
        <v>74</v>
      </c>
      <c r="R255" t="s">
        <v>74</v>
      </c>
      <c r="S255" t="s">
        <v>74</v>
      </c>
      <c r="T255" t="s">
        <v>3756</v>
      </c>
      <c r="U255" t="s">
        <v>3757</v>
      </c>
      <c r="V255" t="s">
        <v>3758</v>
      </c>
      <c r="W255" t="s">
        <v>461</v>
      </c>
      <c r="X255" t="s">
        <v>462</v>
      </c>
      <c r="Y255" t="s">
        <v>3759</v>
      </c>
      <c r="Z255" t="s">
        <v>3760</v>
      </c>
      <c r="AA255" t="s">
        <v>74</v>
      </c>
      <c r="AB255" t="s">
        <v>74</v>
      </c>
      <c r="AC255" t="s">
        <v>74</v>
      </c>
      <c r="AD255" t="s">
        <v>74</v>
      </c>
      <c r="AE255" t="s">
        <v>74</v>
      </c>
      <c r="AF255" t="s">
        <v>74</v>
      </c>
      <c r="AG255">
        <v>43</v>
      </c>
      <c r="AH255">
        <v>138</v>
      </c>
      <c r="AI255">
        <v>147</v>
      </c>
      <c r="AJ255">
        <v>1</v>
      </c>
      <c r="AK255">
        <v>45</v>
      </c>
      <c r="AL255" t="s">
        <v>3761</v>
      </c>
      <c r="AM255" t="s">
        <v>1248</v>
      </c>
      <c r="AN255" t="s">
        <v>1249</v>
      </c>
      <c r="AO255" t="s">
        <v>3762</v>
      </c>
      <c r="AP255" t="s">
        <v>3763</v>
      </c>
      <c r="AQ255" t="s">
        <v>74</v>
      </c>
      <c r="AR255" t="s">
        <v>3764</v>
      </c>
      <c r="AS255" t="s">
        <v>3765</v>
      </c>
      <c r="AT255" t="s">
        <v>3219</v>
      </c>
      <c r="AU255">
        <v>2001</v>
      </c>
      <c r="AV255">
        <v>70</v>
      </c>
      <c r="AW255">
        <v>5</v>
      </c>
      <c r="AX255" t="s">
        <v>74</v>
      </c>
      <c r="AY255" t="s">
        <v>74</v>
      </c>
      <c r="AZ255" t="s">
        <v>74</v>
      </c>
      <c r="BA255" t="s">
        <v>74</v>
      </c>
      <c r="BB255">
        <v>747</v>
      </c>
      <c r="BC255">
        <v>760</v>
      </c>
      <c r="BD255" t="s">
        <v>74</v>
      </c>
      <c r="BE255" t="s">
        <v>3766</v>
      </c>
      <c r="BF255" t="str">
        <f>HYPERLINK("http://dx.doi.org/10.1046/j.0021-8790.2001.00534.x","http://dx.doi.org/10.1046/j.0021-8790.2001.00534.x")</f>
        <v>http://dx.doi.org/10.1046/j.0021-8790.2001.00534.x</v>
      </c>
      <c r="BG255" t="s">
        <v>74</v>
      </c>
      <c r="BH255" t="s">
        <v>74</v>
      </c>
      <c r="BI255">
        <v>14</v>
      </c>
      <c r="BJ255" t="s">
        <v>3767</v>
      </c>
      <c r="BK255" t="s">
        <v>88</v>
      </c>
      <c r="BL255" t="s">
        <v>3768</v>
      </c>
      <c r="BM255" t="s">
        <v>3769</v>
      </c>
      <c r="BN255" t="s">
        <v>74</v>
      </c>
      <c r="BO255" t="s">
        <v>171</v>
      </c>
      <c r="BP255" t="s">
        <v>74</v>
      </c>
      <c r="BQ255" t="s">
        <v>74</v>
      </c>
      <c r="BR255" t="s">
        <v>91</v>
      </c>
      <c r="BS255" t="s">
        <v>3770</v>
      </c>
      <c r="BT255" t="str">
        <f>HYPERLINK("https%3A%2F%2Fwww.webofscience.com%2Fwos%2Fwoscc%2Ffull-record%2FWOS:000171128800005","View Full Record in Web of Science")</f>
        <v>View Full Record in Web of Science</v>
      </c>
    </row>
    <row r="256" spans="1:72" x14ac:dyDescent="0.15">
      <c r="A256" t="s">
        <v>72</v>
      </c>
      <c r="B256" t="s">
        <v>3771</v>
      </c>
      <c r="C256" t="s">
        <v>74</v>
      </c>
      <c r="D256" t="s">
        <v>74</v>
      </c>
      <c r="E256" t="s">
        <v>74</v>
      </c>
      <c r="F256" t="s">
        <v>3771</v>
      </c>
      <c r="G256" t="s">
        <v>74</v>
      </c>
      <c r="H256" t="s">
        <v>74</v>
      </c>
      <c r="I256" t="s">
        <v>3772</v>
      </c>
      <c r="J256" t="s">
        <v>1201</v>
      </c>
      <c r="K256" t="s">
        <v>74</v>
      </c>
      <c r="L256" t="s">
        <v>74</v>
      </c>
      <c r="M256" t="s">
        <v>77</v>
      </c>
      <c r="N256" t="s">
        <v>120</v>
      </c>
      <c r="O256" t="s">
        <v>74</v>
      </c>
      <c r="P256" t="s">
        <v>74</v>
      </c>
      <c r="Q256" t="s">
        <v>74</v>
      </c>
      <c r="R256" t="s">
        <v>74</v>
      </c>
      <c r="S256" t="s">
        <v>74</v>
      </c>
      <c r="T256" t="s">
        <v>3773</v>
      </c>
      <c r="U256" t="s">
        <v>3774</v>
      </c>
      <c r="V256" t="s">
        <v>3775</v>
      </c>
      <c r="W256" t="s">
        <v>3776</v>
      </c>
      <c r="X256" t="s">
        <v>3777</v>
      </c>
      <c r="Y256" t="s">
        <v>3778</v>
      </c>
      <c r="Z256" t="s">
        <v>74</v>
      </c>
      <c r="AA256" t="s">
        <v>3779</v>
      </c>
      <c r="AB256" t="s">
        <v>3780</v>
      </c>
      <c r="AC256" t="s">
        <v>74</v>
      </c>
      <c r="AD256" t="s">
        <v>74</v>
      </c>
      <c r="AE256" t="s">
        <v>74</v>
      </c>
      <c r="AF256" t="s">
        <v>74</v>
      </c>
      <c r="AG256">
        <v>23</v>
      </c>
      <c r="AH256">
        <v>9</v>
      </c>
      <c r="AI256">
        <v>9</v>
      </c>
      <c r="AJ256">
        <v>0</v>
      </c>
      <c r="AK256">
        <v>1</v>
      </c>
      <c r="AL256" t="s">
        <v>79</v>
      </c>
      <c r="AM256" t="s">
        <v>80</v>
      </c>
      <c r="AN256" t="s">
        <v>81</v>
      </c>
      <c r="AO256" t="s">
        <v>1208</v>
      </c>
      <c r="AP256" t="s">
        <v>74</v>
      </c>
      <c r="AQ256" t="s">
        <v>74</v>
      </c>
      <c r="AR256" t="s">
        <v>1209</v>
      </c>
      <c r="AS256" t="s">
        <v>1210</v>
      </c>
      <c r="AT256" t="s">
        <v>3219</v>
      </c>
      <c r="AU256">
        <v>2001</v>
      </c>
      <c r="AV256">
        <v>63</v>
      </c>
      <c r="AW256">
        <v>13</v>
      </c>
      <c r="AX256" t="s">
        <v>74</v>
      </c>
      <c r="AY256" t="s">
        <v>74</v>
      </c>
      <c r="AZ256" t="s">
        <v>74</v>
      </c>
      <c r="BA256" t="s">
        <v>74</v>
      </c>
      <c r="BB256">
        <v>1361</v>
      </c>
      <c r="BC256">
        <v>1370</v>
      </c>
      <c r="BD256" t="s">
        <v>74</v>
      </c>
      <c r="BE256" t="s">
        <v>3781</v>
      </c>
      <c r="BF256" t="str">
        <f>HYPERLINK("http://dx.doi.org/10.1016/S1364-6826(00)00237-6","http://dx.doi.org/10.1016/S1364-6826(00)00237-6")</f>
        <v>http://dx.doi.org/10.1016/S1364-6826(00)00237-6</v>
      </c>
      <c r="BG256" t="s">
        <v>74</v>
      </c>
      <c r="BH256" t="s">
        <v>74</v>
      </c>
      <c r="BI256">
        <v>10</v>
      </c>
      <c r="BJ256" t="s">
        <v>1212</v>
      </c>
      <c r="BK256" t="s">
        <v>88</v>
      </c>
      <c r="BL256" t="s">
        <v>1212</v>
      </c>
      <c r="BM256" t="s">
        <v>3782</v>
      </c>
      <c r="BN256" t="s">
        <v>74</v>
      </c>
      <c r="BO256" t="s">
        <v>1685</v>
      </c>
      <c r="BP256" t="s">
        <v>74</v>
      </c>
      <c r="BQ256" t="s">
        <v>74</v>
      </c>
      <c r="BR256" t="s">
        <v>91</v>
      </c>
      <c r="BS256" t="s">
        <v>3783</v>
      </c>
      <c r="BT256" t="str">
        <f>HYPERLINK("https%3A%2F%2Fwww.webofscience.com%2Fwos%2Fwoscc%2Ffull-record%2FWOS:000170113800002","View Full Record in Web of Science")</f>
        <v>View Full Record in Web of Science</v>
      </c>
    </row>
    <row r="257" spans="1:72" x14ac:dyDescent="0.15">
      <c r="A257" t="s">
        <v>72</v>
      </c>
      <c r="B257" t="s">
        <v>3784</v>
      </c>
      <c r="C257" t="s">
        <v>74</v>
      </c>
      <c r="D257" t="s">
        <v>74</v>
      </c>
      <c r="E257" t="s">
        <v>74</v>
      </c>
      <c r="F257" t="s">
        <v>3784</v>
      </c>
      <c r="G257" t="s">
        <v>74</v>
      </c>
      <c r="H257" t="s">
        <v>74</v>
      </c>
      <c r="I257" t="s">
        <v>3785</v>
      </c>
      <c r="J257" t="s">
        <v>1201</v>
      </c>
      <c r="K257" t="s">
        <v>74</v>
      </c>
      <c r="L257" t="s">
        <v>74</v>
      </c>
      <c r="M257" t="s">
        <v>77</v>
      </c>
      <c r="N257" t="s">
        <v>120</v>
      </c>
      <c r="O257" t="s">
        <v>74</v>
      </c>
      <c r="P257" t="s">
        <v>74</v>
      </c>
      <c r="Q257" t="s">
        <v>74</v>
      </c>
      <c r="R257" t="s">
        <v>74</v>
      </c>
      <c r="S257" t="s">
        <v>74</v>
      </c>
      <c r="T257" t="s">
        <v>3786</v>
      </c>
      <c r="U257" t="s">
        <v>3787</v>
      </c>
      <c r="V257" t="s">
        <v>3788</v>
      </c>
      <c r="W257" t="s">
        <v>3789</v>
      </c>
      <c r="X257" t="s">
        <v>3790</v>
      </c>
      <c r="Y257" t="s">
        <v>3791</v>
      </c>
      <c r="Z257" t="s">
        <v>74</v>
      </c>
      <c r="AA257" t="s">
        <v>3792</v>
      </c>
      <c r="AB257" t="s">
        <v>3793</v>
      </c>
      <c r="AC257" t="s">
        <v>74</v>
      </c>
      <c r="AD257" t="s">
        <v>74</v>
      </c>
      <c r="AE257" t="s">
        <v>74</v>
      </c>
      <c r="AF257" t="s">
        <v>74</v>
      </c>
      <c r="AG257">
        <v>74</v>
      </c>
      <c r="AH257">
        <v>32</v>
      </c>
      <c r="AI257">
        <v>33</v>
      </c>
      <c r="AJ257">
        <v>0</v>
      </c>
      <c r="AK257">
        <v>5</v>
      </c>
      <c r="AL257" t="s">
        <v>79</v>
      </c>
      <c r="AM257" t="s">
        <v>80</v>
      </c>
      <c r="AN257" t="s">
        <v>81</v>
      </c>
      <c r="AO257" t="s">
        <v>1208</v>
      </c>
      <c r="AP257" t="s">
        <v>74</v>
      </c>
      <c r="AQ257" t="s">
        <v>74</v>
      </c>
      <c r="AR257" t="s">
        <v>1209</v>
      </c>
      <c r="AS257" t="s">
        <v>1210</v>
      </c>
      <c r="AT257" t="s">
        <v>3219</v>
      </c>
      <c r="AU257">
        <v>2001</v>
      </c>
      <c r="AV257">
        <v>63</v>
      </c>
      <c r="AW257">
        <v>13</v>
      </c>
      <c r="AX257" t="s">
        <v>74</v>
      </c>
      <c r="AY257" t="s">
        <v>74</v>
      </c>
      <c r="AZ257" t="s">
        <v>74</v>
      </c>
      <c r="BA257" t="s">
        <v>74</v>
      </c>
      <c r="BB257">
        <v>1435</v>
      </c>
      <c r="BC257">
        <v>1445</v>
      </c>
      <c r="BD257" t="s">
        <v>74</v>
      </c>
      <c r="BE257" t="s">
        <v>3794</v>
      </c>
      <c r="BF257" t="str">
        <f>HYPERLINK("http://dx.doi.org/10.1016/S1364-6826(00)00245-5","http://dx.doi.org/10.1016/S1364-6826(00)00245-5")</f>
        <v>http://dx.doi.org/10.1016/S1364-6826(00)00245-5</v>
      </c>
      <c r="BG257" t="s">
        <v>74</v>
      </c>
      <c r="BH257" t="s">
        <v>74</v>
      </c>
      <c r="BI257">
        <v>11</v>
      </c>
      <c r="BJ257" t="s">
        <v>1212</v>
      </c>
      <c r="BK257" t="s">
        <v>88</v>
      </c>
      <c r="BL257" t="s">
        <v>1212</v>
      </c>
      <c r="BM257" t="s">
        <v>3782</v>
      </c>
      <c r="BN257" t="s">
        <v>74</v>
      </c>
      <c r="BO257" t="s">
        <v>74</v>
      </c>
      <c r="BP257" t="s">
        <v>74</v>
      </c>
      <c r="BQ257" t="s">
        <v>74</v>
      </c>
      <c r="BR257" t="s">
        <v>91</v>
      </c>
      <c r="BS257" t="s">
        <v>3795</v>
      </c>
      <c r="BT257" t="str">
        <f>HYPERLINK("https%3A%2F%2Fwww.webofscience.com%2Fwos%2Fwoscc%2Ffull-record%2FWOS:000170113800010","View Full Record in Web of Science")</f>
        <v>View Full Record in Web of Science</v>
      </c>
    </row>
    <row r="258" spans="1:72" x14ac:dyDescent="0.15">
      <c r="A258" t="s">
        <v>72</v>
      </c>
      <c r="B258" t="s">
        <v>3796</v>
      </c>
      <c r="C258" t="s">
        <v>74</v>
      </c>
      <c r="D258" t="s">
        <v>74</v>
      </c>
      <c r="E258" t="s">
        <v>74</v>
      </c>
      <c r="F258" t="s">
        <v>3796</v>
      </c>
      <c r="G258" t="s">
        <v>74</v>
      </c>
      <c r="H258" t="s">
        <v>74</v>
      </c>
      <c r="I258" t="s">
        <v>3797</v>
      </c>
      <c r="J258" t="s">
        <v>1201</v>
      </c>
      <c r="K258" t="s">
        <v>74</v>
      </c>
      <c r="L258" t="s">
        <v>74</v>
      </c>
      <c r="M258" t="s">
        <v>77</v>
      </c>
      <c r="N258" t="s">
        <v>120</v>
      </c>
      <c r="O258" t="s">
        <v>74</v>
      </c>
      <c r="P258" t="s">
        <v>74</v>
      </c>
      <c r="Q258" t="s">
        <v>74</v>
      </c>
      <c r="R258" t="s">
        <v>74</v>
      </c>
      <c r="S258" t="s">
        <v>74</v>
      </c>
      <c r="T258" t="s">
        <v>3798</v>
      </c>
      <c r="U258" t="s">
        <v>3799</v>
      </c>
      <c r="V258" t="s">
        <v>3800</v>
      </c>
      <c r="W258" t="s">
        <v>3801</v>
      </c>
      <c r="X258" t="s">
        <v>3802</v>
      </c>
      <c r="Y258" t="s">
        <v>3803</v>
      </c>
      <c r="Z258" t="s">
        <v>74</v>
      </c>
      <c r="AA258" t="s">
        <v>74</v>
      </c>
      <c r="AB258" t="s">
        <v>74</v>
      </c>
      <c r="AC258" t="s">
        <v>74</v>
      </c>
      <c r="AD258" t="s">
        <v>74</v>
      </c>
      <c r="AE258" t="s">
        <v>74</v>
      </c>
      <c r="AF258" t="s">
        <v>74</v>
      </c>
      <c r="AG258">
        <v>31</v>
      </c>
      <c r="AH258">
        <v>6</v>
      </c>
      <c r="AI258">
        <v>6</v>
      </c>
      <c r="AJ258">
        <v>0</v>
      </c>
      <c r="AK258">
        <v>3</v>
      </c>
      <c r="AL258" t="s">
        <v>79</v>
      </c>
      <c r="AM258" t="s">
        <v>80</v>
      </c>
      <c r="AN258" t="s">
        <v>81</v>
      </c>
      <c r="AO258" t="s">
        <v>1208</v>
      </c>
      <c r="AP258" t="s">
        <v>74</v>
      </c>
      <c r="AQ258" t="s">
        <v>74</v>
      </c>
      <c r="AR258" t="s">
        <v>1209</v>
      </c>
      <c r="AS258" t="s">
        <v>1210</v>
      </c>
      <c r="AT258" t="s">
        <v>3219</v>
      </c>
      <c r="AU258">
        <v>2001</v>
      </c>
      <c r="AV258">
        <v>63</v>
      </c>
      <c r="AW258">
        <v>14</v>
      </c>
      <c r="AX258" t="s">
        <v>74</v>
      </c>
      <c r="AY258" t="s">
        <v>74</v>
      </c>
      <c r="AZ258" t="s">
        <v>74</v>
      </c>
      <c r="BA258" t="s">
        <v>74</v>
      </c>
      <c r="BB258">
        <v>1571</v>
      </c>
      <c r="BC258">
        <v>1584</v>
      </c>
      <c r="BD258" t="s">
        <v>74</v>
      </c>
      <c r="BE258" t="s">
        <v>3804</v>
      </c>
      <c r="BF258" t="str">
        <f>HYPERLINK("http://dx.doi.org/10.1016/S1364-6826(01)00035-9","http://dx.doi.org/10.1016/S1364-6826(01)00035-9")</f>
        <v>http://dx.doi.org/10.1016/S1364-6826(01)00035-9</v>
      </c>
      <c r="BG258" t="s">
        <v>74</v>
      </c>
      <c r="BH258" t="s">
        <v>74</v>
      </c>
      <c r="BI258">
        <v>14</v>
      </c>
      <c r="BJ258" t="s">
        <v>1212</v>
      </c>
      <c r="BK258" t="s">
        <v>88</v>
      </c>
      <c r="BL258" t="s">
        <v>1212</v>
      </c>
      <c r="BM258" t="s">
        <v>3805</v>
      </c>
      <c r="BN258" t="s">
        <v>74</v>
      </c>
      <c r="BO258" t="s">
        <v>74</v>
      </c>
      <c r="BP258" t="s">
        <v>74</v>
      </c>
      <c r="BQ258" t="s">
        <v>74</v>
      </c>
      <c r="BR258" t="s">
        <v>91</v>
      </c>
      <c r="BS258" t="s">
        <v>3806</v>
      </c>
      <c r="BT258" t="str">
        <f>HYPERLINK("https%3A%2F%2Fwww.webofscience.com%2Fwos%2Fwoscc%2Ffull-record%2FWOS:000170837300011","View Full Record in Web of Science")</f>
        <v>View Full Record in Web of Science</v>
      </c>
    </row>
    <row r="259" spans="1:72" x14ac:dyDescent="0.15">
      <c r="A259" t="s">
        <v>72</v>
      </c>
      <c r="B259" t="s">
        <v>3807</v>
      </c>
      <c r="C259" t="s">
        <v>74</v>
      </c>
      <c r="D259" t="s">
        <v>74</v>
      </c>
      <c r="E259" t="s">
        <v>74</v>
      </c>
      <c r="F259" t="s">
        <v>3807</v>
      </c>
      <c r="G259" t="s">
        <v>74</v>
      </c>
      <c r="H259" t="s">
        <v>74</v>
      </c>
      <c r="I259" t="s">
        <v>3808</v>
      </c>
      <c r="J259" t="s">
        <v>3809</v>
      </c>
      <c r="K259" t="s">
        <v>74</v>
      </c>
      <c r="L259" t="s">
        <v>74</v>
      </c>
      <c r="M259" t="s">
        <v>77</v>
      </c>
      <c r="N259" t="s">
        <v>120</v>
      </c>
      <c r="O259" t="s">
        <v>74</v>
      </c>
      <c r="P259" t="s">
        <v>74</v>
      </c>
      <c r="Q259" t="s">
        <v>74</v>
      </c>
      <c r="R259" t="s">
        <v>74</v>
      </c>
      <c r="S259" t="s">
        <v>74</v>
      </c>
      <c r="T259" t="s">
        <v>3810</v>
      </c>
      <c r="U259" t="s">
        <v>3811</v>
      </c>
      <c r="V259" t="s">
        <v>3812</v>
      </c>
      <c r="W259" t="s">
        <v>3813</v>
      </c>
      <c r="X259" t="s">
        <v>3814</v>
      </c>
      <c r="Y259" t="s">
        <v>3815</v>
      </c>
      <c r="Z259" t="s">
        <v>74</v>
      </c>
      <c r="AA259" t="s">
        <v>74</v>
      </c>
      <c r="AB259" t="s">
        <v>74</v>
      </c>
      <c r="AC259" t="s">
        <v>74</v>
      </c>
      <c r="AD259" t="s">
        <v>74</v>
      </c>
      <c r="AE259" t="s">
        <v>74</v>
      </c>
      <c r="AF259" t="s">
        <v>74</v>
      </c>
      <c r="AG259">
        <v>15</v>
      </c>
      <c r="AH259">
        <v>58</v>
      </c>
      <c r="AI259">
        <v>70</v>
      </c>
      <c r="AJ259">
        <v>0</v>
      </c>
      <c r="AK259">
        <v>13</v>
      </c>
      <c r="AL259" t="s">
        <v>79</v>
      </c>
      <c r="AM259" t="s">
        <v>80</v>
      </c>
      <c r="AN259" t="s">
        <v>81</v>
      </c>
      <c r="AO259" t="s">
        <v>3816</v>
      </c>
      <c r="AP259" t="s">
        <v>74</v>
      </c>
      <c r="AQ259" t="s">
        <v>74</v>
      </c>
      <c r="AR259" t="s">
        <v>3817</v>
      </c>
      <c r="AS259" t="s">
        <v>3818</v>
      </c>
      <c r="AT259" t="s">
        <v>3219</v>
      </c>
      <c r="AU259">
        <v>2001</v>
      </c>
      <c r="AV259">
        <v>47</v>
      </c>
      <c r="AW259">
        <v>10</v>
      </c>
      <c r="AX259" t="s">
        <v>74</v>
      </c>
      <c r="AY259" t="s">
        <v>74</v>
      </c>
      <c r="AZ259" t="s">
        <v>74</v>
      </c>
      <c r="BA259" t="s">
        <v>74</v>
      </c>
      <c r="BB259">
        <v>1161</v>
      </c>
      <c r="BC259">
        <v>1167</v>
      </c>
      <c r="BD259" t="s">
        <v>74</v>
      </c>
      <c r="BE259" t="s">
        <v>3819</v>
      </c>
      <c r="BF259" t="str">
        <f>HYPERLINK("http://dx.doi.org/10.1016/S0022-1910(01)00097-X","http://dx.doi.org/10.1016/S0022-1910(01)00097-X")</f>
        <v>http://dx.doi.org/10.1016/S0022-1910(01)00097-X</v>
      </c>
      <c r="BG259" t="s">
        <v>74</v>
      </c>
      <c r="BH259" t="s">
        <v>74</v>
      </c>
      <c r="BI259">
        <v>7</v>
      </c>
      <c r="BJ259" t="s">
        <v>3820</v>
      </c>
      <c r="BK259" t="s">
        <v>88</v>
      </c>
      <c r="BL259" t="s">
        <v>3820</v>
      </c>
      <c r="BM259" t="s">
        <v>3821</v>
      </c>
      <c r="BN259">
        <v>12770194</v>
      </c>
      <c r="BO259" t="s">
        <v>74</v>
      </c>
      <c r="BP259" t="s">
        <v>74</v>
      </c>
      <c r="BQ259" t="s">
        <v>74</v>
      </c>
      <c r="BR259" t="s">
        <v>91</v>
      </c>
      <c r="BS259" t="s">
        <v>3822</v>
      </c>
      <c r="BT259" t="str">
        <f>HYPERLINK("https%3A%2F%2Fwww.webofscience.com%2Fwos%2Fwoscc%2Ffull-record%2FWOS:000170925500008","View Full Record in Web of Science")</f>
        <v>View Full Record in Web of Science</v>
      </c>
    </row>
    <row r="260" spans="1:72" x14ac:dyDescent="0.15">
      <c r="A260" t="s">
        <v>72</v>
      </c>
      <c r="B260" t="s">
        <v>3823</v>
      </c>
      <c r="C260" t="s">
        <v>74</v>
      </c>
      <c r="D260" t="s">
        <v>74</v>
      </c>
      <c r="E260" t="s">
        <v>74</v>
      </c>
      <c r="F260" t="s">
        <v>3823</v>
      </c>
      <c r="G260" t="s">
        <v>74</v>
      </c>
      <c r="H260" t="s">
        <v>74</v>
      </c>
      <c r="I260" t="s">
        <v>3824</v>
      </c>
      <c r="J260" t="s">
        <v>3825</v>
      </c>
      <c r="K260" t="s">
        <v>74</v>
      </c>
      <c r="L260" t="s">
        <v>74</v>
      </c>
      <c r="M260" t="s">
        <v>77</v>
      </c>
      <c r="N260" t="s">
        <v>435</v>
      </c>
      <c r="O260" t="s">
        <v>3826</v>
      </c>
      <c r="P260" t="s">
        <v>3827</v>
      </c>
      <c r="Q260" t="s">
        <v>3828</v>
      </c>
      <c r="R260" t="s">
        <v>74</v>
      </c>
      <c r="S260" t="s">
        <v>74</v>
      </c>
      <c r="T260" t="s">
        <v>3829</v>
      </c>
      <c r="U260" t="s">
        <v>3830</v>
      </c>
      <c r="V260" t="s">
        <v>3831</v>
      </c>
      <c r="W260" t="s">
        <v>3832</v>
      </c>
      <c r="X260" t="s">
        <v>3833</v>
      </c>
      <c r="Y260" t="s">
        <v>3834</v>
      </c>
      <c r="Z260" t="s">
        <v>74</v>
      </c>
      <c r="AA260" t="s">
        <v>3835</v>
      </c>
      <c r="AB260" t="s">
        <v>74</v>
      </c>
      <c r="AC260" t="s">
        <v>74</v>
      </c>
      <c r="AD260" t="s">
        <v>74</v>
      </c>
      <c r="AE260" t="s">
        <v>74</v>
      </c>
      <c r="AF260" t="s">
        <v>74</v>
      </c>
      <c r="AG260">
        <v>36</v>
      </c>
      <c r="AH260">
        <v>41</v>
      </c>
      <c r="AI260">
        <v>42</v>
      </c>
      <c r="AJ260">
        <v>0</v>
      </c>
      <c r="AK260">
        <v>1</v>
      </c>
      <c r="AL260" t="s">
        <v>3836</v>
      </c>
      <c r="AM260" t="s">
        <v>3837</v>
      </c>
      <c r="AN260" t="s">
        <v>3838</v>
      </c>
      <c r="AO260" t="s">
        <v>3839</v>
      </c>
      <c r="AP260" t="s">
        <v>74</v>
      </c>
      <c r="AQ260" t="s">
        <v>74</v>
      </c>
      <c r="AR260" t="s">
        <v>3840</v>
      </c>
      <c r="AS260" t="s">
        <v>3841</v>
      </c>
      <c r="AT260" t="s">
        <v>3235</v>
      </c>
      <c r="AU260">
        <v>2001</v>
      </c>
      <c r="AV260">
        <v>62</v>
      </c>
      <c r="AW260" t="s">
        <v>495</v>
      </c>
      <c r="AX260" t="s">
        <v>74</v>
      </c>
      <c r="AY260" t="s">
        <v>74</v>
      </c>
      <c r="AZ260" t="s">
        <v>74</v>
      </c>
      <c r="BA260" t="s">
        <v>74</v>
      </c>
      <c r="BB260">
        <v>1</v>
      </c>
      <c r="BC260">
        <v>8</v>
      </c>
      <c r="BD260" t="s">
        <v>74</v>
      </c>
      <c r="BE260" t="s">
        <v>3842</v>
      </c>
      <c r="BF260" t="str">
        <f>HYPERLINK("http://dx.doi.org/10.1016/S1011-1344(01)00159-2","http://dx.doi.org/10.1016/S1011-1344(01)00159-2")</f>
        <v>http://dx.doi.org/10.1016/S1011-1344(01)00159-2</v>
      </c>
      <c r="BG260" t="s">
        <v>74</v>
      </c>
      <c r="BH260" t="s">
        <v>74</v>
      </c>
      <c r="BI260">
        <v>8</v>
      </c>
      <c r="BJ260" t="s">
        <v>2728</v>
      </c>
      <c r="BK260" t="s">
        <v>453</v>
      </c>
      <c r="BL260" t="s">
        <v>2728</v>
      </c>
      <c r="BM260" t="s">
        <v>3843</v>
      </c>
      <c r="BN260">
        <v>11693360</v>
      </c>
      <c r="BO260" t="s">
        <v>74</v>
      </c>
      <c r="BP260" t="s">
        <v>74</v>
      </c>
      <c r="BQ260" t="s">
        <v>74</v>
      </c>
      <c r="BR260" t="s">
        <v>91</v>
      </c>
      <c r="BS260" t="s">
        <v>3844</v>
      </c>
      <c r="BT260" t="str">
        <f>HYPERLINK("https%3A%2F%2Fwww.webofscience.com%2Fwos%2Fwoscc%2Ffull-record%2FWOS:000171085600002","View Full Record in Web of Science")</f>
        <v>View Full Record in Web of Science</v>
      </c>
    </row>
    <row r="261" spans="1:72" x14ac:dyDescent="0.15">
      <c r="A261" t="s">
        <v>72</v>
      </c>
      <c r="B261" t="s">
        <v>3845</v>
      </c>
      <c r="C261" t="s">
        <v>74</v>
      </c>
      <c r="D261" t="s">
        <v>74</v>
      </c>
      <c r="E261" t="s">
        <v>74</v>
      </c>
      <c r="F261" t="s">
        <v>3845</v>
      </c>
      <c r="G261" t="s">
        <v>74</v>
      </c>
      <c r="H261" t="s">
        <v>74</v>
      </c>
      <c r="I261" t="s">
        <v>3846</v>
      </c>
      <c r="J261" t="s">
        <v>3825</v>
      </c>
      <c r="K261" t="s">
        <v>74</v>
      </c>
      <c r="L261" t="s">
        <v>74</v>
      </c>
      <c r="M261" t="s">
        <v>77</v>
      </c>
      <c r="N261" t="s">
        <v>435</v>
      </c>
      <c r="O261" t="s">
        <v>3826</v>
      </c>
      <c r="P261" t="s">
        <v>3827</v>
      </c>
      <c r="Q261" t="s">
        <v>3828</v>
      </c>
      <c r="R261" t="s">
        <v>74</v>
      </c>
      <c r="S261" t="s">
        <v>74</v>
      </c>
      <c r="T261" t="s">
        <v>3847</v>
      </c>
      <c r="U261" t="s">
        <v>3848</v>
      </c>
      <c r="V261" t="s">
        <v>3849</v>
      </c>
      <c r="W261" t="s">
        <v>3850</v>
      </c>
      <c r="X261" t="s">
        <v>3851</v>
      </c>
      <c r="Y261" t="s">
        <v>3852</v>
      </c>
      <c r="Z261" t="s">
        <v>3853</v>
      </c>
      <c r="AA261" t="s">
        <v>3854</v>
      </c>
      <c r="AB261" t="s">
        <v>3855</v>
      </c>
      <c r="AC261" t="s">
        <v>74</v>
      </c>
      <c r="AD261" t="s">
        <v>74</v>
      </c>
      <c r="AE261" t="s">
        <v>74</v>
      </c>
      <c r="AF261" t="s">
        <v>74</v>
      </c>
      <c r="AG261">
        <v>51</v>
      </c>
      <c r="AH261">
        <v>63</v>
      </c>
      <c r="AI261">
        <v>70</v>
      </c>
      <c r="AJ261">
        <v>0</v>
      </c>
      <c r="AK261">
        <v>12</v>
      </c>
      <c r="AL261" t="s">
        <v>3836</v>
      </c>
      <c r="AM261" t="s">
        <v>3837</v>
      </c>
      <c r="AN261" t="s">
        <v>3838</v>
      </c>
      <c r="AO261" t="s">
        <v>3839</v>
      </c>
      <c r="AP261" t="s">
        <v>74</v>
      </c>
      <c r="AQ261" t="s">
        <v>74</v>
      </c>
      <c r="AR261" t="s">
        <v>3840</v>
      </c>
      <c r="AS261" t="s">
        <v>3841</v>
      </c>
      <c r="AT261" t="s">
        <v>3235</v>
      </c>
      <c r="AU261">
        <v>2001</v>
      </c>
      <c r="AV261">
        <v>62</v>
      </c>
      <c r="AW261" t="s">
        <v>495</v>
      </c>
      <c r="AX261" t="s">
        <v>74</v>
      </c>
      <c r="AY261" t="s">
        <v>74</v>
      </c>
      <c r="AZ261" t="s">
        <v>74</v>
      </c>
      <c r="BA261" t="s">
        <v>74</v>
      </c>
      <c r="BB261">
        <v>9</v>
      </c>
      <c r="BC261">
        <v>18</v>
      </c>
      <c r="BD261" t="s">
        <v>74</v>
      </c>
      <c r="BE261" t="s">
        <v>3856</v>
      </c>
      <c r="BF261" t="str">
        <f>HYPERLINK("http://dx.doi.org/10.1016/S1011-1344(01)00156-7","http://dx.doi.org/10.1016/S1011-1344(01)00156-7")</f>
        <v>http://dx.doi.org/10.1016/S1011-1344(01)00156-7</v>
      </c>
      <c r="BG261" t="s">
        <v>74</v>
      </c>
      <c r="BH261" t="s">
        <v>74</v>
      </c>
      <c r="BI261">
        <v>10</v>
      </c>
      <c r="BJ261" t="s">
        <v>2728</v>
      </c>
      <c r="BK261" t="s">
        <v>816</v>
      </c>
      <c r="BL261" t="s">
        <v>2728</v>
      </c>
      <c r="BM261" t="s">
        <v>3843</v>
      </c>
      <c r="BN261">
        <v>11693371</v>
      </c>
      <c r="BO261" t="s">
        <v>74</v>
      </c>
      <c r="BP261" t="s">
        <v>74</v>
      </c>
      <c r="BQ261" t="s">
        <v>74</v>
      </c>
      <c r="BR261" t="s">
        <v>91</v>
      </c>
      <c r="BS261" t="s">
        <v>3857</v>
      </c>
      <c r="BT261" t="str">
        <f>HYPERLINK("https%3A%2F%2Fwww.webofscience.com%2Fwos%2Fwoscc%2Ffull-record%2FWOS:000171085600003","View Full Record in Web of Science")</f>
        <v>View Full Record in Web of Science</v>
      </c>
    </row>
    <row r="262" spans="1:72" x14ac:dyDescent="0.15">
      <c r="A262" t="s">
        <v>72</v>
      </c>
      <c r="B262" t="s">
        <v>3858</v>
      </c>
      <c r="C262" t="s">
        <v>74</v>
      </c>
      <c r="D262" t="s">
        <v>74</v>
      </c>
      <c r="E262" t="s">
        <v>74</v>
      </c>
      <c r="F262" t="s">
        <v>3858</v>
      </c>
      <c r="G262" t="s">
        <v>74</v>
      </c>
      <c r="H262" t="s">
        <v>74</v>
      </c>
      <c r="I262" t="s">
        <v>3859</v>
      </c>
      <c r="J262" t="s">
        <v>3825</v>
      </c>
      <c r="K262" t="s">
        <v>74</v>
      </c>
      <c r="L262" t="s">
        <v>74</v>
      </c>
      <c r="M262" t="s">
        <v>77</v>
      </c>
      <c r="N262" t="s">
        <v>435</v>
      </c>
      <c r="O262" t="s">
        <v>3826</v>
      </c>
      <c r="P262" t="s">
        <v>3827</v>
      </c>
      <c r="Q262" t="s">
        <v>3828</v>
      </c>
      <c r="R262" t="s">
        <v>74</v>
      </c>
      <c r="S262" t="s">
        <v>74</v>
      </c>
      <c r="T262" t="s">
        <v>3860</v>
      </c>
      <c r="U262" t="s">
        <v>3861</v>
      </c>
      <c r="V262" t="s">
        <v>3862</v>
      </c>
      <c r="W262" t="s">
        <v>3863</v>
      </c>
      <c r="X262" t="s">
        <v>3280</v>
      </c>
      <c r="Y262" t="s">
        <v>3864</v>
      </c>
      <c r="Z262" t="s">
        <v>3865</v>
      </c>
      <c r="AA262" t="s">
        <v>74</v>
      </c>
      <c r="AB262" t="s">
        <v>74</v>
      </c>
      <c r="AC262" t="s">
        <v>74</v>
      </c>
      <c r="AD262" t="s">
        <v>74</v>
      </c>
      <c r="AE262" t="s">
        <v>74</v>
      </c>
      <c r="AF262" t="s">
        <v>74</v>
      </c>
      <c r="AG262">
        <v>37</v>
      </c>
      <c r="AH262">
        <v>47</v>
      </c>
      <c r="AI262">
        <v>54</v>
      </c>
      <c r="AJ262">
        <v>0</v>
      </c>
      <c r="AK262">
        <v>15</v>
      </c>
      <c r="AL262" t="s">
        <v>3836</v>
      </c>
      <c r="AM262" t="s">
        <v>3837</v>
      </c>
      <c r="AN262" t="s">
        <v>3838</v>
      </c>
      <c r="AO262" t="s">
        <v>3839</v>
      </c>
      <c r="AP262" t="s">
        <v>74</v>
      </c>
      <c r="AQ262" t="s">
        <v>74</v>
      </c>
      <c r="AR262" t="s">
        <v>3840</v>
      </c>
      <c r="AS262" t="s">
        <v>3841</v>
      </c>
      <c r="AT262" t="s">
        <v>3235</v>
      </c>
      <c r="AU262">
        <v>2001</v>
      </c>
      <c r="AV262">
        <v>62</v>
      </c>
      <c r="AW262" t="s">
        <v>495</v>
      </c>
      <c r="AX262" t="s">
        <v>74</v>
      </c>
      <c r="AY262" t="s">
        <v>74</v>
      </c>
      <c r="AZ262" t="s">
        <v>74</v>
      </c>
      <c r="BA262" t="s">
        <v>74</v>
      </c>
      <c r="BB262">
        <v>19</v>
      </c>
      <c r="BC262">
        <v>25</v>
      </c>
      <c r="BD262" t="s">
        <v>74</v>
      </c>
      <c r="BE262" t="s">
        <v>3866</v>
      </c>
      <c r="BF262" t="str">
        <f>HYPERLINK("http://dx.doi.org/10.1016/S1011-1344(01)00157-9","http://dx.doi.org/10.1016/S1011-1344(01)00157-9")</f>
        <v>http://dx.doi.org/10.1016/S1011-1344(01)00157-9</v>
      </c>
      <c r="BG262" t="s">
        <v>74</v>
      </c>
      <c r="BH262" t="s">
        <v>74</v>
      </c>
      <c r="BI262">
        <v>7</v>
      </c>
      <c r="BJ262" t="s">
        <v>2728</v>
      </c>
      <c r="BK262" t="s">
        <v>816</v>
      </c>
      <c r="BL262" t="s">
        <v>2728</v>
      </c>
      <c r="BM262" t="s">
        <v>3843</v>
      </c>
      <c r="BN262">
        <v>11693363</v>
      </c>
      <c r="BO262" t="s">
        <v>74</v>
      </c>
      <c r="BP262" t="s">
        <v>74</v>
      </c>
      <c r="BQ262" t="s">
        <v>74</v>
      </c>
      <c r="BR262" t="s">
        <v>91</v>
      </c>
      <c r="BS262" t="s">
        <v>3867</v>
      </c>
      <c r="BT262" t="str">
        <f>HYPERLINK("https%3A%2F%2Fwww.webofscience.com%2Fwos%2Fwoscc%2Ffull-record%2FWOS:000171085600004","View Full Record in Web of Science")</f>
        <v>View Full Record in Web of Science</v>
      </c>
    </row>
    <row r="263" spans="1:72" x14ac:dyDescent="0.15">
      <c r="A263" t="s">
        <v>72</v>
      </c>
      <c r="B263" t="s">
        <v>3868</v>
      </c>
      <c r="C263" t="s">
        <v>74</v>
      </c>
      <c r="D263" t="s">
        <v>74</v>
      </c>
      <c r="E263" t="s">
        <v>74</v>
      </c>
      <c r="F263" t="s">
        <v>3868</v>
      </c>
      <c r="G263" t="s">
        <v>74</v>
      </c>
      <c r="H263" t="s">
        <v>74</v>
      </c>
      <c r="I263" t="s">
        <v>3869</v>
      </c>
      <c r="J263" t="s">
        <v>3825</v>
      </c>
      <c r="K263" t="s">
        <v>74</v>
      </c>
      <c r="L263" t="s">
        <v>74</v>
      </c>
      <c r="M263" t="s">
        <v>77</v>
      </c>
      <c r="N263" t="s">
        <v>435</v>
      </c>
      <c r="O263" t="s">
        <v>3826</v>
      </c>
      <c r="P263" t="s">
        <v>3827</v>
      </c>
      <c r="Q263" t="s">
        <v>3828</v>
      </c>
      <c r="R263" t="s">
        <v>74</v>
      </c>
      <c r="S263" t="s">
        <v>74</v>
      </c>
      <c r="T263" t="s">
        <v>3870</v>
      </c>
      <c r="U263" t="s">
        <v>3871</v>
      </c>
      <c r="V263" t="s">
        <v>3872</v>
      </c>
      <c r="W263" t="s">
        <v>3873</v>
      </c>
      <c r="X263" t="s">
        <v>3874</v>
      </c>
      <c r="Y263" t="s">
        <v>3875</v>
      </c>
      <c r="Z263" t="s">
        <v>74</v>
      </c>
      <c r="AA263" t="s">
        <v>3876</v>
      </c>
      <c r="AB263" t="s">
        <v>3877</v>
      </c>
      <c r="AC263" t="s">
        <v>74</v>
      </c>
      <c r="AD263" t="s">
        <v>74</v>
      </c>
      <c r="AE263" t="s">
        <v>74</v>
      </c>
      <c r="AF263" t="s">
        <v>74</v>
      </c>
      <c r="AG263">
        <v>50</v>
      </c>
      <c r="AH263">
        <v>120</v>
      </c>
      <c r="AI263">
        <v>139</v>
      </c>
      <c r="AJ263">
        <v>1</v>
      </c>
      <c r="AK263">
        <v>24</v>
      </c>
      <c r="AL263" t="s">
        <v>3836</v>
      </c>
      <c r="AM263" t="s">
        <v>3837</v>
      </c>
      <c r="AN263" t="s">
        <v>3838</v>
      </c>
      <c r="AO263" t="s">
        <v>3839</v>
      </c>
      <c r="AP263" t="s">
        <v>74</v>
      </c>
      <c r="AQ263" t="s">
        <v>74</v>
      </c>
      <c r="AR263" t="s">
        <v>3840</v>
      </c>
      <c r="AS263" t="s">
        <v>3841</v>
      </c>
      <c r="AT263" t="s">
        <v>3235</v>
      </c>
      <c r="AU263">
        <v>2001</v>
      </c>
      <c r="AV263">
        <v>62</v>
      </c>
      <c r="AW263" t="s">
        <v>495</v>
      </c>
      <c r="AX263" t="s">
        <v>74</v>
      </c>
      <c r="AY263" t="s">
        <v>74</v>
      </c>
      <c r="AZ263" t="s">
        <v>74</v>
      </c>
      <c r="BA263" t="s">
        <v>74</v>
      </c>
      <c r="BB263">
        <v>67</v>
      </c>
      <c r="BC263">
        <v>77</v>
      </c>
      <c r="BD263" t="s">
        <v>74</v>
      </c>
      <c r="BE263" t="s">
        <v>3878</v>
      </c>
      <c r="BF263" t="str">
        <f>HYPERLINK("http://dx.doi.org/10.1016/S1011-1344(01)00152-X","http://dx.doi.org/10.1016/S1011-1344(01)00152-X")</f>
        <v>http://dx.doi.org/10.1016/S1011-1344(01)00152-X</v>
      </c>
      <c r="BG263" t="s">
        <v>74</v>
      </c>
      <c r="BH263" t="s">
        <v>74</v>
      </c>
      <c r="BI263">
        <v>11</v>
      </c>
      <c r="BJ263" t="s">
        <v>2728</v>
      </c>
      <c r="BK263" t="s">
        <v>453</v>
      </c>
      <c r="BL263" t="s">
        <v>2728</v>
      </c>
      <c r="BM263" t="s">
        <v>3843</v>
      </c>
      <c r="BN263">
        <v>11693368</v>
      </c>
      <c r="BO263" t="s">
        <v>74</v>
      </c>
      <c r="BP263" t="s">
        <v>74</v>
      </c>
      <c r="BQ263" t="s">
        <v>74</v>
      </c>
      <c r="BR263" t="s">
        <v>91</v>
      </c>
      <c r="BS263" t="s">
        <v>3879</v>
      </c>
      <c r="BT263" t="str">
        <f>HYPERLINK("https%3A%2F%2Fwww.webofscience.com%2Fwos%2Fwoscc%2Ffull-record%2FWOS:000171085600009","View Full Record in Web of Science")</f>
        <v>View Full Record in Web of Science</v>
      </c>
    </row>
    <row r="264" spans="1:72" x14ac:dyDescent="0.15">
      <c r="A264" t="s">
        <v>72</v>
      </c>
      <c r="B264" t="s">
        <v>3880</v>
      </c>
      <c r="C264" t="s">
        <v>74</v>
      </c>
      <c r="D264" t="s">
        <v>74</v>
      </c>
      <c r="E264" t="s">
        <v>74</v>
      </c>
      <c r="F264" t="s">
        <v>3880</v>
      </c>
      <c r="G264" t="s">
        <v>74</v>
      </c>
      <c r="H264" t="s">
        <v>74</v>
      </c>
      <c r="I264" t="s">
        <v>3881</v>
      </c>
      <c r="J264" t="s">
        <v>3825</v>
      </c>
      <c r="K264" t="s">
        <v>74</v>
      </c>
      <c r="L264" t="s">
        <v>74</v>
      </c>
      <c r="M264" t="s">
        <v>77</v>
      </c>
      <c r="N264" t="s">
        <v>435</v>
      </c>
      <c r="O264" t="s">
        <v>3826</v>
      </c>
      <c r="P264" t="s">
        <v>3827</v>
      </c>
      <c r="Q264" t="s">
        <v>3828</v>
      </c>
      <c r="R264" t="s">
        <v>74</v>
      </c>
      <c r="S264" t="s">
        <v>74</v>
      </c>
      <c r="T264" t="s">
        <v>3882</v>
      </c>
      <c r="U264" t="s">
        <v>3883</v>
      </c>
      <c r="V264" t="s">
        <v>3884</v>
      </c>
      <c r="W264" t="s">
        <v>3885</v>
      </c>
      <c r="X264" t="s">
        <v>3886</v>
      </c>
      <c r="Y264" t="s">
        <v>3887</v>
      </c>
      <c r="Z264" t="s">
        <v>74</v>
      </c>
      <c r="AA264" t="s">
        <v>3888</v>
      </c>
      <c r="AB264" t="s">
        <v>3889</v>
      </c>
      <c r="AC264" t="s">
        <v>74</v>
      </c>
      <c r="AD264" t="s">
        <v>74</v>
      </c>
      <c r="AE264" t="s">
        <v>74</v>
      </c>
      <c r="AF264" t="s">
        <v>74</v>
      </c>
      <c r="AG264">
        <v>39</v>
      </c>
      <c r="AH264">
        <v>91</v>
      </c>
      <c r="AI264">
        <v>103</v>
      </c>
      <c r="AJ264">
        <v>0</v>
      </c>
      <c r="AK264">
        <v>15</v>
      </c>
      <c r="AL264" t="s">
        <v>3836</v>
      </c>
      <c r="AM264" t="s">
        <v>3837</v>
      </c>
      <c r="AN264" t="s">
        <v>3838</v>
      </c>
      <c r="AO264" t="s">
        <v>3839</v>
      </c>
      <c r="AP264" t="s">
        <v>74</v>
      </c>
      <c r="AQ264" t="s">
        <v>74</v>
      </c>
      <c r="AR264" t="s">
        <v>3840</v>
      </c>
      <c r="AS264" t="s">
        <v>3841</v>
      </c>
      <c r="AT264" t="s">
        <v>3235</v>
      </c>
      <c r="AU264">
        <v>2001</v>
      </c>
      <c r="AV264">
        <v>62</v>
      </c>
      <c r="AW264" t="s">
        <v>495</v>
      </c>
      <c r="AX264" t="s">
        <v>74</v>
      </c>
      <c r="AY264" t="s">
        <v>74</v>
      </c>
      <c r="AZ264" t="s">
        <v>74</v>
      </c>
      <c r="BA264" t="s">
        <v>74</v>
      </c>
      <c r="BB264">
        <v>78</v>
      </c>
      <c r="BC264">
        <v>87</v>
      </c>
      <c r="BD264" t="s">
        <v>74</v>
      </c>
      <c r="BE264" t="s">
        <v>3890</v>
      </c>
      <c r="BF264" t="str">
        <f>HYPERLINK("http://dx.doi.org/10.1016/S1011-1344(01)00161-0","http://dx.doi.org/10.1016/S1011-1344(01)00161-0")</f>
        <v>http://dx.doi.org/10.1016/S1011-1344(01)00161-0</v>
      </c>
      <c r="BG264" t="s">
        <v>74</v>
      </c>
      <c r="BH264" t="s">
        <v>74</v>
      </c>
      <c r="BI264">
        <v>10</v>
      </c>
      <c r="BJ264" t="s">
        <v>2728</v>
      </c>
      <c r="BK264" t="s">
        <v>453</v>
      </c>
      <c r="BL264" t="s">
        <v>2728</v>
      </c>
      <c r="BM264" t="s">
        <v>3843</v>
      </c>
      <c r="BN264">
        <v>11693369</v>
      </c>
      <c r="BO264" t="s">
        <v>74</v>
      </c>
      <c r="BP264" t="s">
        <v>74</v>
      </c>
      <c r="BQ264" t="s">
        <v>74</v>
      </c>
      <c r="BR264" t="s">
        <v>91</v>
      </c>
      <c r="BS264" t="s">
        <v>3891</v>
      </c>
      <c r="BT264" t="str">
        <f>HYPERLINK("https%3A%2F%2Fwww.webofscience.com%2Fwos%2Fwoscc%2Ffull-record%2FWOS:000171085600010","View Full Record in Web of Science")</f>
        <v>View Full Record in Web of Science</v>
      </c>
    </row>
    <row r="265" spans="1:72" x14ac:dyDescent="0.15">
      <c r="A265" t="s">
        <v>72</v>
      </c>
      <c r="B265" t="s">
        <v>3892</v>
      </c>
      <c r="C265" t="s">
        <v>74</v>
      </c>
      <c r="D265" t="s">
        <v>74</v>
      </c>
      <c r="E265" t="s">
        <v>74</v>
      </c>
      <c r="F265" t="s">
        <v>3892</v>
      </c>
      <c r="G265" t="s">
        <v>74</v>
      </c>
      <c r="H265" t="s">
        <v>74</v>
      </c>
      <c r="I265" t="s">
        <v>3893</v>
      </c>
      <c r="J265" t="s">
        <v>3825</v>
      </c>
      <c r="K265" t="s">
        <v>74</v>
      </c>
      <c r="L265" t="s">
        <v>74</v>
      </c>
      <c r="M265" t="s">
        <v>77</v>
      </c>
      <c r="N265" t="s">
        <v>435</v>
      </c>
      <c r="O265" t="s">
        <v>3826</v>
      </c>
      <c r="P265" t="s">
        <v>3827</v>
      </c>
      <c r="Q265" t="s">
        <v>3828</v>
      </c>
      <c r="R265" t="s">
        <v>74</v>
      </c>
      <c r="S265" t="s">
        <v>74</v>
      </c>
      <c r="T265" t="s">
        <v>3894</v>
      </c>
      <c r="U265" t="s">
        <v>3895</v>
      </c>
      <c r="V265" t="s">
        <v>3896</v>
      </c>
      <c r="W265" t="s">
        <v>3897</v>
      </c>
      <c r="X265" t="s">
        <v>3898</v>
      </c>
      <c r="Y265" t="s">
        <v>3899</v>
      </c>
      <c r="Z265" t="s">
        <v>74</v>
      </c>
      <c r="AA265" t="s">
        <v>3900</v>
      </c>
      <c r="AB265" t="s">
        <v>3901</v>
      </c>
      <c r="AC265" t="s">
        <v>74</v>
      </c>
      <c r="AD265" t="s">
        <v>74</v>
      </c>
      <c r="AE265" t="s">
        <v>74</v>
      </c>
      <c r="AF265" t="s">
        <v>74</v>
      </c>
      <c r="AG265">
        <v>35</v>
      </c>
      <c r="AH265">
        <v>22</v>
      </c>
      <c r="AI265">
        <v>25</v>
      </c>
      <c r="AJ265">
        <v>1</v>
      </c>
      <c r="AK265">
        <v>29</v>
      </c>
      <c r="AL265" t="s">
        <v>3836</v>
      </c>
      <c r="AM265" t="s">
        <v>3837</v>
      </c>
      <c r="AN265" t="s">
        <v>3838</v>
      </c>
      <c r="AO265" t="s">
        <v>3839</v>
      </c>
      <c r="AP265" t="s">
        <v>74</v>
      </c>
      <c r="AQ265" t="s">
        <v>74</v>
      </c>
      <c r="AR265" t="s">
        <v>3840</v>
      </c>
      <c r="AS265" t="s">
        <v>3841</v>
      </c>
      <c r="AT265" t="s">
        <v>3235</v>
      </c>
      <c r="AU265">
        <v>2001</v>
      </c>
      <c r="AV265">
        <v>62</v>
      </c>
      <c r="AW265" t="s">
        <v>495</v>
      </c>
      <c r="AX265" t="s">
        <v>74</v>
      </c>
      <c r="AY265" t="s">
        <v>74</v>
      </c>
      <c r="AZ265" t="s">
        <v>74</v>
      </c>
      <c r="BA265" t="s">
        <v>74</v>
      </c>
      <c r="BB265">
        <v>97</v>
      </c>
      <c r="BC265">
        <v>107</v>
      </c>
      <c r="BD265" t="s">
        <v>74</v>
      </c>
      <c r="BE265" t="s">
        <v>3902</v>
      </c>
      <c r="BF265" t="str">
        <f>HYPERLINK("http://dx.doi.org/10.1016/S1011-1344(01)00151-8","http://dx.doi.org/10.1016/S1011-1344(01)00151-8")</f>
        <v>http://dx.doi.org/10.1016/S1011-1344(01)00151-8</v>
      </c>
      <c r="BG265" t="s">
        <v>74</v>
      </c>
      <c r="BH265" t="s">
        <v>74</v>
      </c>
      <c r="BI265">
        <v>11</v>
      </c>
      <c r="BJ265" t="s">
        <v>2728</v>
      </c>
      <c r="BK265" t="s">
        <v>453</v>
      </c>
      <c r="BL265" t="s">
        <v>2728</v>
      </c>
      <c r="BM265" t="s">
        <v>3843</v>
      </c>
      <c r="BN265">
        <v>11693372</v>
      </c>
      <c r="BO265" t="s">
        <v>74</v>
      </c>
      <c r="BP265" t="s">
        <v>74</v>
      </c>
      <c r="BQ265" t="s">
        <v>74</v>
      </c>
      <c r="BR265" t="s">
        <v>91</v>
      </c>
      <c r="BS265" t="s">
        <v>3903</v>
      </c>
      <c r="BT265" t="str">
        <f>HYPERLINK("https%3A%2F%2Fwww.webofscience.com%2Fwos%2Fwoscc%2Ffull-record%2FWOS:000171085600012","View Full Record in Web of Science")</f>
        <v>View Full Record in Web of Science</v>
      </c>
    </row>
    <row r="266" spans="1:72" x14ac:dyDescent="0.15">
      <c r="A266" t="s">
        <v>72</v>
      </c>
      <c r="B266" t="s">
        <v>3904</v>
      </c>
      <c r="C266" t="s">
        <v>74</v>
      </c>
      <c r="D266" t="s">
        <v>74</v>
      </c>
      <c r="E266" t="s">
        <v>74</v>
      </c>
      <c r="F266" t="s">
        <v>3904</v>
      </c>
      <c r="G266" t="s">
        <v>74</v>
      </c>
      <c r="H266" t="s">
        <v>74</v>
      </c>
      <c r="I266" t="s">
        <v>3905</v>
      </c>
      <c r="J266" t="s">
        <v>3906</v>
      </c>
      <c r="K266" t="s">
        <v>74</v>
      </c>
      <c r="L266" t="s">
        <v>74</v>
      </c>
      <c r="M266" t="s">
        <v>77</v>
      </c>
      <c r="N266" t="s">
        <v>120</v>
      </c>
      <c r="O266" t="s">
        <v>74</v>
      </c>
      <c r="P266" t="s">
        <v>74</v>
      </c>
      <c r="Q266" t="s">
        <v>74</v>
      </c>
      <c r="R266" t="s">
        <v>74</v>
      </c>
      <c r="S266" t="s">
        <v>74</v>
      </c>
      <c r="T266" t="s">
        <v>74</v>
      </c>
      <c r="U266" t="s">
        <v>3907</v>
      </c>
      <c r="V266" t="s">
        <v>3908</v>
      </c>
      <c r="W266" t="s">
        <v>3909</v>
      </c>
      <c r="X266" t="s">
        <v>3910</v>
      </c>
      <c r="Y266" t="s">
        <v>3911</v>
      </c>
      <c r="Z266" t="s">
        <v>74</v>
      </c>
      <c r="AA266" t="s">
        <v>3912</v>
      </c>
      <c r="AB266" t="s">
        <v>3913</v>
      </c>
      <c r="AC266" t="s">
        <v>74</v>
      </c>
      <c r="AD266" t="s">
        <v>74</v>
      </c>
      <c r="AE266" t="s">
        <v>74</v>
      </c>
      <c r="AF266" t="s">
        <v>74</v>
      </c>
      <c r="AG266">
        <v>54</v>
      </c>
      <c r="AH266">
        <v>21</v>
      </c>
      <c r="AI266">
        <v>21</v>
      </c>
      <c r="AJ266">
        <v>0</v>
      </c>
      <c r="AK266">
        <v>2</v>
      </c>
      <c r="AL266" t="s">
        <v>3914</v>
      </c>
      <c r="AM266" t="s">
        <v>3915</v>
      </c>
      <c r="AN266" t="s">
        <v>3916</v>
      </c>
      <c r="AO266" t="s">
        <v>3917</v>
      </c>
      <c r="AP266" t="s">
        <v>74</v>
      </c>
      <c r="AQ266" t="s">
        <v>74</v>
      </c>
      <c r="AR266" t="s">
        <v>3918</v>
      </c>
      <c r="AS266" t="s">
        <v>3919</v>
      </c>
      <c r="AT266" t="s">
        <v>3219</v>
      </c>
      <c r="AU266">
        <v>2001</v>
      </c>
      <c r="AV266">
        <v>31</v>
      </c>
      <c r="AW266">
        <v>9</v>
      </c>
      <c r="AX266" t="s">
        <v>74</v>
      </c>
      <c r="AY266" t="s">
        <v>74</v>
      </c>
      <c r="AZ266" t="s">
        <v>74</v>
      </c>
      <c r="BA266" t="s">
        <v>74</v>
      </c>
      <c r="BB266">
        <v>2761</v>
      </c>
      <c r="BC266">
        <v>2782</v>
      </c>
      <c r="BD266" t="s">
        <v>74</v>
      </c>
      <c r="BE266" t="s">
        <v>3920</v>
      </c>
      <c r="BF266" t="str">
        <f>HYPERLINK("http://dx.doi.org/10.1175/1520-0485(2001)031&lt;2761:TCSWAI&gt;2.0.CO;2","http://dx.doi.org/10.1175/1520-0485(2001)031&lt;2761:TCSWAI&gt;2.0.CO;2")</f>
        <v>http://dx.doi.org/10.1175/1520-0485(2001)031&lt;2761:TCSWAI&gt;2.0.CO;2</v>
      </c>
      <c r="BG266" t="s">
        <v>74</v>
      </c>
      <c r="BH266" t="s">
        <v>74</v>
      </c>
      <c r="BI266">
        <v>22</v>
      </c>
      <c r="BJ266" t="s">
        <v>668</v>
      </c>
      <c r="BK266" t="s">
        <v>88</v>
      </c>
      <c r="BL266" t="s">
        <v>668</v>
      </c>
      <c r="BM266" t="s">
        <v>3921</v>
      </c>
      <c r="BN266" t="s">
        <v>74</v>
      </c>
      <c r="BO266" t="s">
        <v>359</v>
      </c>
      <c r="BP266" t="s">
        <v>74</v>
      </c>
      <c r="BQ266" t="s">
        <v>74</v>
      </c>
      <c r="BR266" t="s">
        <v>91</v>
      </c>
      <c r="BS266" t="s">
        <v>3922</v>
      </c>
      <c r="BT266" t="str">
        <f>HYPERLINK("https%3A%2F%2Fwww.webofscience.com%2Fwos%2Fwoscc%2Ffull-record%2FWOS:000171060600014","View Full Record in Web of Science")</f>
        <v>View Full Record in Web of Science</v>
      </c>
    </row>
    <row r="267" spans="1:72" x14ac:dyDescent="0.15">
      <c r="A267" t="s">
        <v>72</v>
      </c>
      <c r="B267" t="s">
        <v>3923</v>
      </c>
      <c r="C267" t="s">
        <v>74</v>
      </c>
      <c r="D267" t="s">
        <v>74</v>
      </c>
      <c r="E267" t="s">
        <v>74</v>
      </c>
      <c r="F267" t="s">
        <v>3923</v>
      </c>
      <c r="G267" t="s">
        <v>74</v>
      </c>
      <c r="H267" t="s">
        <v>74</v>
      </c>
      <c r="I267" t="s">
        <v>3924</v>
      </c>
      <c r="J267" t="s">
        <v>2560</v>
      </c>
      <c r="K267" t="s">
        <v>74</v>
      </c>
      <c r="L267" t="s">
        <v>74</v>
      </c>
      <c r="M267" t="s">
        <v>77</v>
      </c>
      <c r="N267" t="s">
        <v>120</v>
      </c>
      <c r="O267" t="s">
        <v>74</v>
      </c>
      <c r="P267" t="s">
        <v>74</v>
      </c>
      <c r="Q267" t="s">
        <v>74</v>
      </c>
      <c r="R267" t="s">
        <v>74</v>
      </c>
      <c r="S267" t="s">
        <v>74</v>
      </c>
      <c r="T267" t="s">
        <v>74</v>
      </c>
      <c r="U267" t="s">
        <v>3925</v>
      </c>
      <c r="V267" t="s">
        <v>3926</v>
      </c>
      <c r="W267" t="s">
        <v>3927</v>
      </c>
      <c r="X267" t="s">
        <v>3928</v>
      </c>
      <c r="Y267" t="s">
        <v>3929</v>
      </c>
      <c r="Z267" t="s">
        <v>74</v>
      </c>
      <c r="AA267" t="s">
        <v>74</v>
      </c>
      <c r="AB267" t="s">
        <v>3930</v>
      </c>
      <c r="AC267" t="s">
        <v>74</v>
      </c>
      <c r="AD267" t="s">
        <v>74</v>
      </c>
      <c r="AE267" t="s">
        <v>74</v>
      </c>
      <c r="AF267" t="s">
        <v>74</v>
      </c>
      <c r="AG267">
        <v>60</v>
      </c>
      <c r="AH267">
        <v>52</v>
      </c>
      <c r="AI267">
        <v>53</v>
      </c>
      <c r="AJ267">
        <v>0</v>
      </c>
      <c r="AK267">
        <v>14</v>
      </c>
      <c r="AL267" t="s">
        <v>273</v>
      </c>
      <c r="AM267" t="s">
        <v>80</v>
      </c>
      <c r="AN267" t="s">
        <v>274</v>
      </c>
      <c r="AO267" t="s">
        <v>2569</v>
      </c>
      <c r="AP267" t="s">
        <v>2570</v>
      </c>
      <c r="AQ267" t="s">
        <v>74</v>
      </c>
      <c r="AR267" t="s">
        <v>2571</v>
      </c>
      <c r="AS267" t="s">
        <v>2572</v>
      </c>
      <c r="AT267" t="s">
        <v>3219</v>
      </c>
      <c r="AU267">
        <v>2001</v>
      </c>
      <c r="AV267">
        <v>23</v>
      </c>
      <c r="AW267">
        <v>9</v>
      </c>
      <c r="AX267" t="s">
        <v>74</v>
      </c>
      <c r="AY267" t="s">
        <v>74</v>
      </c>
      <c r="AZ267" t="s">
        <v>74</v>
      </c>
      <c r="BA267" t="s">
        <v>74</v>
      </c>
      <c r="BB267">
        <v>963</v>
      </c>
      <c r="BC267">
        <v>975</v>
      </c>
      <c r="BD267" t="s">
        <v>74</v>
      </c>
      <c r="BE267" t="s">
        <v>3931</v>
      </c>
      <c r="BF267" t="str">
        <f>HYPERLINK("http://dx.doi.org/10.1093/plankt/23.9.963","http://dx.doi.org/10.1093/plankt/23.9.963")</f>
        <v>http://dx.doi.org/10.1093/plankt/23.9.963</v>
      </c>
      <c r="BG267" t="s">
        <v>74</v>
      </c>
      <c r="BH267" t="s">
        <v>74</v>
      </c>
      <c r="BI267">
        <v>13</v>
      </c>
      <c r="BJ267" t="s">
        <v>2574</v>
      </c>
      <c r="BK267" t="s">
        <v>88</v>
      </c>
      <c r="BL267" t="s">
        <v>2574</v>
      </c>
      <c r="BM267" t="s">
        <v>3932</v>
      </c>
      <c r="BN267" t="s">
        <v>74</v>
      </c>
      <c r="BO267" t="s">
        <v>74</v>
      </c>
      <c r="BP267" t="s">
        <v>74</v>
      </c>
      <c r="BQ267" t="s">
        <v>74</v>
      </c>
      <c r="BR267" t="s">
        <v>91</v>
      </c>
      <c r="BS267" t="s">
        <v>3933</v>
      </c>
      <c r="BT267" t="str">
        <f>HYPERLINK("https%3A%2F%2Fwww.webofscience.com%2Fwos%2Fwoscc%2Ffull-record%2FWOS:000171286800006","View Full Record in Web of Science")</f>
        <v>View Full Record in Web of Science</v>
      </c>
    </row>
    <row r="268" spans="1:72" x14ac:dyDescent="0.15">
      <c r="A268" t="s">
        <v>72</v>
      </c>
      <c r="B268" t="s">
        <v>3934</v>
      </c>
      <c r="C268" t="s">
        <v>74</v>
      </c>
      <c r="D268" t="s">
        <v>74</v>
      </c>
      <c r="E268" t="s">
        <v>74</v>
      </c>
      <c r="F268" t="s">
        <v>3934</v>
      </c>
      <c r="G268" t="s">
        <v>74</v>
      </c>
      <c r="H268" t="s">
        <v>74</v>
      </c>
      <c r="I268" t="s">
        <v>3935</v>
      </c>
      <c r="J268" t="s">
        <v>3936</v>
      </c>
      <c r="K268" t="s">
        <v>74</v>
      </c>
      <c r="L268" t="s">
        <v>74</v>
      </c>
      <c r="M268" t="s">
        <v>77</v>
      </c>
      <c r="N268" t="s">
        <v>120</v>
      </c>
      <c r="O268" t="s">
        <v>74</v>
      </c>
      <c r="P268" t="s">
        <v>74</v>
      </c>
      <c r="Q268" t="s">
        <v>74</v>
      </c>
      <c r="R268" t="s">
        <v>74</v>
      </c>
      <c r="S268" t="s">
        <v>74</v>
      </c>
      <c r="T268" t="s">
        <v>74</v>
      </c>
      <c r="U268" t="s">
        <v>3937</v>
      </c>
      <c r="V268" t="s">
        <v>3938</v>
      </c>
      <c r="W268" t="s">
        <v>3939</v>
      </c>
      <c r="X268" t="s">
        <v>3940</v>
      </c>
      <c r="Y268" t="s">
        <v>3941</v>
      </c>
      <c r="Z268" t="s">
        <v>74</v>
      </c>
      <c r="AA268" t="s">
        <v>74</v>
      </c>
      <c r="AB268" t="s">
        <v>74</v>
      </c>
      <c r="AC268" t="s">
        <v>74</v>
      </c>
      <c r="AD268" t="s">
        <v>74</v>
      </c>
      <c r="AE268" t="s">
        <v>74</v>
      </c>
      <c r="AF268" t="s">
        <v>74</v>
      </c>
      <c r="AG268">
        <v>38</v>
      </c>
      <c r="AH268">
        <v>43</v>
      </c>
      <c r="AI268">
        <v>45</v>
      </c>
      <c r="AJ268">
        <v>0</v>
      </c>
      <c r="AK268">
        <v>7</v>
      </c>
      <c r="AL268" t="s">
        <v>3942</v>
      </c>
      <c r="AM268" t="s">
        <v>3943</v>
      </c>
      <c r="AN268" t="s">
        <v>3944</v>
      </c>
      <c r="AO268" t="s">
        <v>3945</v>
      </c>
      <c r="AP268" t="s">
        <v>74</v>
      </c>
      <c r="AQ268" t="s">
        <v>74</v>
      </c>
      <c r="AR268" t="s">
        <v>3946</v>
      </c>
      <c r="AS268" t="s">
        <v>3947</v>
      </c>
      <c r="AT268" t="s">
        <v>3219</v>
      </c>
      <c r="AU268">
        <v>2001</v>
      </c>
      <c r="AV268">
        <v>71</v>
      </c>
      <c r="AW268">
        <v>5</v>
      </c>
      <c r="AX268" t="s">
        <v>2865</v>
      </c>
      <c r="AY268" t="s">
        <v>74</v>
      </c>
      <c r="AZ268" t="s">
        <v>74</v>
      </c>
      <c r="BA268" t="s">
        <v>74</v>
      </c>
      <c r="BB268">
        <v>833</v>
      </c>
      <c r="BC268">
        <v>842</v>
      </c>
      <c r="BD268" t="s">
        <v>74</v>
      </c>
      <c r="BE268" t="s">
        <v>3948</v>
      </c>
      <c r="BF268" t="str">
        <f>HYPERLINK("http://dx.doi.org/10.1306/2DC4096C-0E47-11D7-8643000102C1865D","http://dx.doi.org/10.1306/2DC4096C-0E47-11D7-8643000102C1865D")</f>
        <v>http://dx.doi.org/10.1306/2DC4096C-0E47-11D7-8643000102C1865D</v>
      </c>
      <c r="BG268" t="s">
        <v>74</v>
      </c>
      <c r="BH268" t="s">
        <v>74</v>
      </c>
      <c r="BI268">
        <v>10</v>
      </c>
      <c r="BJ268" t="s">
        <v>113</v>
      </c>
      <c r="BK268" t="s">
        <v>88</v>
      </c>
      <c r="BL268" t="s">
        <v>113</v>
      </c>
      <c r="BM268" t="s">
        <v>3949</v>
      </c>
      <c r="BN268" t="s">
        <v>74</v>
      </c>
      <c r="BO268" t="s">
        <v>74</v>
      </c>
      <c r="BP268" t="s">
        <v>74</v>
      </c>
      <c r="BQ268" t="s">
        <v>74</v>
      </c>
      <c r="BR268" t="s">
        <v>91</v>
      </c>
      <c r="BS268" t="s">
        <v>3950</v>
      </c>
      <c r="BT268" t="str">
        <f>HYPERLINK("https%3A%2F%2Fwww.webofscience.com%2Fwos%2Fwoscc%2Ffull-record%2FWOS:000170973300016","View Full Record in Web of Science")</f>
        <v>View Full Record in Web of Science</v>
      </c>
    </row>
    <row r="269" spans="1:72" x14ac:dyDescent="0.15">
      <c r="A269" t="s">
        <v>72</v>
      </c>
      <c r="B269" t="s">
        <v>3951</v>
      </c>
      <c r="C269" t="s">
        <v>74</v>
      </c>
      <c r="D269" t="s">
        <v>74</v>
      </c>
      <c r="E269" t="s">
        <v>74</v>
      </c>
      <c r="F269" t="s">
        <v>3951</v>
      </c>
      <c r="G269" t="s">
        <v>74</v>
      </c>
      <c r="H269" t="s">
        <v>74</v>
      </c>
      <c r="I269" t="s">
        <v>3952</v>
      </c>
      <c r="J269" t="s">
        <v>1364</v>
      </c>
      <c r="K269" t="s">
        <v>74</v>
      </c>
      <c r="L269" t="s">
        <v>74</v>
      </c>
      <c r="M269" t="s">
        <v>77</v>
      </c>
      <c r="N269" t="s">
        <v>120</v>
      </c>
      <c r="O269" t="s">
        <v>74</v>
      </c>
      <c r="P269" t="s">
        <v>74</v>
      </c>
      <c r="Q269" t="s">
        <v>74</v>
      </c>
      <c r="R269" t="s">
        <v>74</v>
      </c>
      <c r="S269" t="s">
        <v>74</v>
      </c>
      <c r="T269" t="s">
        <v>3953</v>
      </c>
      <c r="U269" t="s">
        <v>3954</v>
      </c>
      <c r="V269" t="s">
        <v>3955</v>
      </c>
      <c r="W269" t="s">
        <v>3956</v>
      </c>
      <c r="X269" t="s">
        <v>3957</v>
      </c>
      <c r="Y269" t="s">
        <v>3958</v>
      </c>
      <c r="Z269" t="s">
        <v>74</v>
      </c>
      <c r="AA269" t="s">
        <v>3959</v>
      </c>
      <c r="AB269" t="s">
        <v>3960</v>
      </c>
      <c r="AC269" t="s">
        <v>74</v>
      </c>
      <c r="AD269" t="s">
        <v>74</v>
      </c>
      <c r="AE269" t="s">
        <v>74</v>
      </c>
      <c r="AF269" t="s">
        <v>74</v>
      </c>
      <c r="AG269">
        <v>61</v>
      </c>
      <c r="AH269">
        <v>48</v>
      </c>
      <c r="AI269">
        <v>50</v>
      </c>
      <c r="AJ269">
        <v>0</v>
      </c>
      <c r="AK269">
        <v>3</v>
      </c>
      <c r="AL269" t="s">
        <v>1372</v>
      </c>
      <c r="AM269" t="s">
        <v>1373</v>
      </c>
      <c r="AN269" t="s">
        <v>1374</v>
      </c>
      <c r="AO269" t="s">
        <v>1375</v>
      </c>
      <c r="AP269" t="s">
        <v>74</v>
      </c>
      <c r="AQ269" t="s">
        <v>74</v>
      </c>
      <c r="AR269" t="s">
        <v>1377</v>
      </c>
      <c r="AS269" t="s">
        <v>1378</v>
      </c>
      <c r="AT269" t="s">
        <v>3219</v>
      </c>
      <c r="AU269">
        <v>2001</v>
      </c>
      <c r="AV269">
        <v>158</v>
      </c>
      <c r="AW269" t="s">
        <v>74</v>
      </c>
      <c r="AX269">
        <v>5</v>
      </c>
      <c r="AY269" t="s">
        <v>74</v>
      </c>
      <c r="AZ269" t="s">
        <v>74</v>
      </c>
      <c r="BA269" t="s">
        <v>74</v>
      </c>
      <c r="BB269">
        <v>855</v>
      </c>
      <c r="BC269">
        <v>867</v>
      </c>
      <c r="BD269" t="s">
        <v>74</v>
      </c>
      <c r="BE269" t="s">
        <v>3961</v>
      </c>
      <c r="BF269" t="str">
        <f>HYPERLINK("http://dx.doi.org/10.1144/0016-764900-139","http://dx.doi.org/10.1144/0016-764900-139")</f>
        <v>http://dx.doi.org/10.1144/0016-764900-139</v>
      </c>
      <c r="BG269" t="s">
        <v>74</v>
      </c>
      <c r="BH269" t="s">
        <v>74</v>
      </c>
      <c r="BI269">
        <v>13</v>
      </c>
      <c r="BJ269" t="s">
        <v>300</v>
      </c>
      <c r="BK269" t="s">
        <v>88</v>
      </c>
      <c r="BL269" t="s">
        <v>113</v>
      </c>
      <c r="BM269" t="s">
        <v>3962</v>
      </c>
      <c r="BN269" t="s">
        <v>74</v>
      </c>
      <c r="BO269" t="s">
        <v>74</v>
      </c>
      <c r="BP269" t="s">
        <v>74</v>
      </c>
      <c r="BQ269" t="s">
        <v>74</v>
      </c>
      <c r="BR269" t="s">
        <v>91</v>
      </c>
      <c r="BS269" t="s">
        <v>3963</v>
      </c>
      <c r="BT269" t="str">
        <f>HYPERLINK("https%3A%2F%2Fwww.webofscience.com%2Fwos%2Fwoscc%2Ffull-record%2FWOS:000171734900013","View Full Record in Web of Science")</f>
        <v>View Full Record in Web of Science</v>
      </c>
    </row>
    <row r="270" spans="1:72" x14ac:dyDescent="0.15">
      <c r="A270" t="s">
        <v>72</v>
      </c>
      <c r="B270" t="s">
        <v>3964</v>
      </c>
      <c r="C270" t="s">
        <v>74</v>
      </c>
      <c r="D270" t="s">
        <v>74</v>
      </c>
      <c r="E270" t="s">
        <v>74</v>
      </c>
      <c r="F270" t="s">
        <v>3964</v>
      </c>
      <c r="G270" t="s">
        <v>74</v>
      </c>
      <c r="H270" t="s">
        <v>74</v>
      </c>
      <c r="I270" t="s">
        <v>3965</v>
      </c>
      <c r="J270" t="s">
        <v>3966</v>
      </c>
      <c r="K270" t="s">
        <v>74</v>
      </c>
      <c r="L270" t="s">
        <v>74</v>
      </c>
      <c r="M270" t="s">
        <v>77</v>
      </c>
      <c r="N270" t="s">
        <v>120</v>
      </c>
      <c r="O270" t="s">
        <v>74</v>
      </c>
      <c r="P270" t="s">
        <v>74</v>
      </c>
      <c r="Q270" t="s">
        <v>74</v>
      </c>
      <c r="R270" t="s">
        <v>74</v>
      </c>
      <c r="S270" t="s">
        <v>74</v>
      </c>
      <c r="T270" t="s">
        <v>74</v>
      </c>
      <c r="U270" t="s">
        <v>3967</v>
      </c>
      <c r="V270" t="s">
        <v>3968</v>
      </c>
      <c r="W270" t="s">
        <v>3969</v>
      </c>
      <c r="X270" t="s">
        <v>3970</v>
      </c>
      <c r="Y270" t="s">
        <v>3971</v>
      </c>
      <c r="Z270" t="s">
        <v>74</v>
      </c>
      <c r="AA270" t="s">
        <v>74</v>
      </c>
      <c r="AB270" t="s">
        <v>74</v>
      </c>
      <c r="AC270" t="s">
        <v>74</v>
      </c>
      <c r="AD270" t="s">
        <v>74</v>
      </c>
      <c r="AE270" t="s">
        <v>74</v>
      </c>
      <c r="AF270" t="s">
        <v>74</v>
      </c>
      <c r="AG270">
        <v>19</v>
      </c>
      <c r="AH270">
        <v>7</v>
      </c>
      <c r="AI270">
        <v>8</v>
      </c>
      <c r="AJ270">
        <v>0</v>
      </c>
      <c r="AK270">
        <v>10</v>
      </c>
      <c r="AL270" t="s">
        <v>3972</v>
      </c>
      <c r="AM270" t="s">
        <v>1352</v>
      </c>
      <c r="AN270" t="s">
        <v>3973</v>
      </c>
      <c r="AO270" t="s">
        <v>3974</v>
      </c>
      <c r="AP270" t="s">
        <v>74</v>
      </c>
      <c r="AQ270" t="s">
        <v>74</v>
      </c>
      <c r="AR270" t="s">
        <v>3975</v>
      </c>
      <c r="AS270" t="s">
        <v>3976</v>
      </c>
      <c r="AT270" t="s">
        <v>3453</v>
      </c>
      <c r="AU270">
        <v>2001</v>
      </c>
      <c r="AV270">
        <v>27</v>
      </c>
      <c r="AW270" t="s">
        <v>3977</v>
      </c>
      <c r="AX270" t="s">
        <v>74</v>
      </c>
      <c r="AY270" t="s">
        <v>74</v>
      </c>
      <c r="AZ270" t="s">
        <v>74</v>
      </c>
      <c r="BA270" t="s">
        <v>74</v>
      </c>
      <c r="BB270">
        <v>890</v>
      </c>
      <c r="BC270">
        <v>894</v>
      </c>
      <c r="BD270" t="s">
        <v>74</v>
      </c>
      <c r="BE270" t="s">
        <v>3978</v>
      </c>
      <c r="BF270" t="str">
        <f>HYPERLINK("http://dx.doi.org/10.1063/1.1414583","http://dx.doi.org/10.1063/1.1414583")</f>
        <v>http://dx.doi.org/10.1063/1.1414583</v>
      </c>
      <c r="BG270" t="s">
        <v>74</v>
      </c>
      <c r="BH270" t="s">
        <v>74</v>
      </c>
      <c r="BI270">
        <v>5</v>
      </c>
      <c r="BJ270" t="s">
        <v>3979</v>
      </c>
      <c r="BK270" t="s">
        <v>88</v>
      </c>
      <c r="BL270" t="s">
        <v>2453</v>
      </c>
      <c r="BM270" t="s">
        <v>3980</v>
      </c>
      <c r="BN270" t="s">
        <v>74</v>
      </c>
      <c r="BO270" t="s">
        <v>1685</v>
      </c>
      <c r="BP270" t="s">
        <v>74</v>
      </c>
      <c r="BQ270" t="s">
        <v>74</v>
      </c>
      <c r="BR270" t="s">
        <v>91</v>
      </c>
      <c r="BS270" t="s">
        <v>3981</v>
      </c>
      <c r="BT270" t="str">
        <f>HYPERLINK("https%3A%2F%2Fwww.webofscience.com%2Fwos%2Fwoscc%2Ffull-record%2FWOS:000171947200032","View Full Record in Web of Science")</f>
        <v>View Full Record in Web of Science</v>
      </c>
    </row>
    <row r="271" spans="1:72" x14ac:dyDescent="0.15">
      <c r="A271" t="s">
        <v>72</v>
      </c>
      <c r="B271" t="s">
        <v>3982</v>
      </c>
      <c r="C271" t="s">
        <v>74</v>
      </c>
      <c r="D271" t="s">
        <v>74</v>
      </c>
      <c r="E271" t="s">
        <v>74</v>
      </c>
      <c r="F271" t="s">
        <v>3982</v>
      </c>
      <c r="G271" t="s">
        <v>74</v>
      </c>
      <c r="H271" t="s">
        <v>74</v>
      </c>
      <c r="I271" t="s">
        <v>3983</v>
      </c>
      <c r="J271" t="s">
        <v>1415</v>
      </c>
      <c r="K271" t="s">
        <v>74</v>
      </c>
      <c r="L271" t="s">
        <v>74</v>
      </c>
      <c r="M271" t="s">
        <v>77</v>
      </c>
      <c r="N271" t="s">
        <v>120</v>
      </c>
      <c r="O271" t="s">
        <v>74</v>
      </c>
      <c r="P271" t="s">
        <v>74</v>
      </c>
      <c r="Q271" t="s">
        <v>74</v>
      </c>
      <c r="R271" t="s">
        <v>74</v>
      </c>
      <c r="S271" t="s">
        <v>74</v>
      </c>
      <c r="T271" t="s">
        <v>74</v>
      </c>
      <c r="U271" t="s">
        <v>3984</v>
      </c>
      <c r="V271" t="s">
        <v>3985</v>
      </c>
      <c r="W271" t="s">
        <v>3986</v>
      </c>
      <c r="X271" t="s">
        <v>3987</v>
      </c>
      <c r="Y271" t="s">
        <v>3988</v>
      </c>
      <c r="Z271" t="s">
        <v>3989</v>
      </c>
      <c r="AA271" t="s">
        <v>74</v>
      </c>
      <c r="AB271" t="s">
        <v>74</v>
      </c>
      <c r="AC271" t="s">
        <v>74</v>
      </c>
      <c r="AD271" t="s">
        <v>74</v>
      </c>
      <c r="AE271" t="s">
        <v>74</v>
      </c>
      <c r="AF271" t="s">
        <v>74</v>
      </c>
      <c r="AG271">
        <v>48</v>
      </c>
      <c r="AH271">
        <v>10</v>
      </c>
      <c r="AI271">
        <v>13</v>
      </c>
      <c r="AJ271">
        <v>1</v>
      </c>
      <c r="AK271">
        <v>14</v>
      </c>
      <c r="AL271" t="s">
        <v>248</v>
      </c>
      <c r="AM271" t="s">
        <v>204</v>
      </c>
      <c r="AN271" t="s">
        <v>1622</v>
      </c>
      <c r="AO271" t="s">
        <v>1421</v>
      </c>
      <c r="AP271" t="s">
        <v>74</v>
      </c>
      <c r="AQ271" t="s">
        <v>74</v>
      </c>
      <c r="AR271" t="s">
        <v>1422</v>
      </c>
      <c r="AS271" t="s">
        <v>1423</v>
      </c>
      <c r="AT271" t="s">
        <v>3219</v>
      </c>
      <c r="AU271">
        <v>2001</v>
      </c>
      <c r="AV271">
        <v>139</v>
      </c>
      <c r="AW271">
        <v>3</v>
      </c>
      <c r="AX271" t="s">
        <v>74</v>
      </c>
      <c r="AY271" t="s">
        <v>74</v>
      </c>
      <c r="AZ271" t="s">
        <v>74</v>
      </c>
      <c r="BA271" t="s">
        <v>74</v>
      </c>
      <c r="BB271">
        <v>463</v>
      </c>
      <c r="BC271">
        <v>474</v>
      </c>
      <c r="BD271" t="s">
        <v>74</v>
      </c>
      <c r="BE271" t="s">
        <v>74</v>
      </c>
      <c r="BF271" t="s">
        <v>74</v>
      </c>
      <c r="BG271" t="s">
        <v>74</v>
      </c>
      <c r="BH271" t="s">
        <v>74</v>
      </c>
      <c r="BI271">
        <v>12</v>
      </c>
      <c r="BJ271" t="s">
        <v>323</v>
      </c>
      <c r="BK271" t="s">
        <v>88</v>
      </c>
      <c r="BL271" t="s">
        <v>323</v>
      </c>
      <c r="BM271" t="s">
        <v>3990</v>
      </c>
      <c r="BN271" t="s">
        <v>74</v>
      </c>
      <c r="BO271" t="s">
        <v>74</v>
      </c>
      <c r="BP271" t="s">
        <v>74</v>
      </c>
      <c r="BQ271" t="s">
        <v>74</v>
      </c>
      <c r="BR271" t="s">
        <v>91</v>
      </c>
      <c r="BS271" t="s">
        <v>3991</v>
      </c>
      <c r="BT271" t="str">
        <f>HYPERLINK("https%3A%2F%2Fwww.webofscience.com%2Fwos%2Fwoscc%2Ffull-record%2FWOS:000171293800007","View Full Record in Web of Science")</f>
        <v>View Full Record in Web of Science</v>
      </c>
    </row>
    <row r="272" spans="1:72" x14ac:dyDescent="0.15">
      <c r="A272" t="s">
        <v>72</v>
      </c>
      <c r="B272" t="s">
        <v>3992</v>
      </c>
      <c r="C272" t="s">
        <v>74</v>
      </c>
      <c r="D272" t="s">
        <v>74</v>
      </c>
      <c r="E272" t="s">
        <v>74</v>
      </c>
      <c r="F272" t="s">
        <v>3992</v>
      </c>
      <c r="G272" t="s">
        <v>74</v>
      </c>
      <c r="H272" t="s">
        <v>74</v>
      </c>
      <c r="I272" t="s">
        <v>3993</v>
      </c>
      <c r="J272" t="s">
        <v>1415</v>
      </c>
      <c r="K272" t="s">
        <v>74</v>
      </c>
      <c r="L272" t="s">
        <v>74</v>
      </c>
      <c r="M272" t="s">
        <v>77</v>
      </c>
      <c r="N272" t="s">
        <v>120</v>
      </c>
      <c r="O272" t="s">
        <v>74</v>
      </c>
      <c r="P272" t="s">
        <v>74</v>
      </c>
      <c r="Q272" t="s">
        <v>74</v>
      </c>
      <c r="R272" t="s">
        <v>74</v>
      </c>
      <c r="S272" t="s">
        <v>74</v>
      </c>
      <c r="T272" t="s">
        <v>74</v>
      </c>
      <c r="U272" t="s">
        <v>3994</v>
      </c>
      <c r="V272" t="s">
        <v>3995</v>
      </c>
      <c r="W272" t="s">
        <v>3996</v>
      </c>
      <c r="X272" t="s">
        <v>3997</v>
      </c>
      <c r="Y272" t="s">
        <v>3998</v>
      </c>
      <c r="Z272" t="s">
        <v>3999</v>
      </c>
      <c r="AA272" t="s">
        <v>74</v>
      </c>
      <c r="AB272" t="s">
        <v>74</v>
      </c>
      <c r="AC272" t="s">
        <v>74</v>
      </c>
      <c r="AD272" t="s">
        <v>74</v>
      </c>
      <c r="AE272" t="s">
        <v>74</v>
      </c>
      <c r="AF272" t="s">
        <v>74</v>
      </c>
      <c r="AG272">
        <v>55</v>
      </c>
      <c r="AH272">
        <v>260</v>
      </c>
      <c r="AI272">
        <v>289</v>
      </c>
      <c r="AJ272">
        <v>4</v>
      </c>
      <c r="AK272">
        <v>75</v>
      </c>
      <c r="AL272" t="s">
        <v>2631</v>
      </c>
      <c r="AM272" t="s">
        <v>2632</v>
      </c>
      <c r="AN272" t="s">
        <v>2633</v>
      </c>
      <c r="AO272" t="s">
        <v>1421</v>
      </c>
      <c r="AP272" t="s">
        <v>2634</v>
      </c>
      <c r="AQ272" t="s">
        <v>74</v>
      </c>
      <c r="AR272" t="s">
        <v>1422</v>
      </c>
      <c r="AS272" t="s">
        <v>1423</v>
      </c>
      <c r="AT272" t="s">
        <v>3219</v>
      </c>
      <c r="AU272">
        <v>2001</v>
      </c>
      <c r="AV272">
        <v>139</v>
      </c>
      <c r="AW272">
        <v>3</v>
      </c>
      <c r="AX272" t="s">
        <v>74</v>
      </c>
      <c r="AY272" t="s">
        <v>74</v>
      </c>
      <c r="AZ272" t="s">
        <v>74</v>
      </c>
      <c r="BA272" t="s">
        <v>74</v>
      </c>
      <c r="BB272">
        <v>587</v>
      </c>
      <c r="BC272">
        <v>596</v>
      </c>
      <c r="BD272" t="s">
        <v>74</v>
      </c>
      <c r="BE272" t="s">
        <v>4000</v>
      </c>
      <c r="BF272" t="str">
        <f>HYPERLINK("http://dx.doi.org/10.1007/s002270100608","http://dx.doi.org/10.1007/s002270100608")</f>
        <v>http://dx.doi.org/10.1007/s002270100608</v>
      </c>
      <c r="BG272" t="s">
        <v>74</v>
      </c>
      <c r="BH272" t="s">
        <v>74</v>
      </c>
      <c r="BI272">
        <v>10</v>
      </c>
      <c r="BJ272" t="s">
        <v>323</v>
      </c>
      <c r="BK272" t="s">
        <v>88</v>
      </c>
      <c r="BL272" t="s">
        <v>323</v>
      </c>
      <c r="BM272" t="s">
        <v>3990</v>
      </c>
      <c r="BN272" t="s">
        <v>74</v>
      </c>
      <c r="BO272" t="s">
        <v>74</v>
      </c>
      <c r="BP272" t="s">
        <v>74</v>
      </c>
      <c r="BQ272" t="s">
        <v>74</v>
      </c>
      <c r="BR272" t="s">
        <v>91</v>
      </c>
      <c r="BS272" t="s">
        <v>4001</v>
      </c>
      <c r="BT272" t="str">
        <f>HYPERLINK("https%3A%2F%2Fwww.webofscience.com%2Fwos%2Fwoscc%2Ffull-record%2FWOS:000171293800018","View Full Record in Web of Science")</f>
        <v>View Full Record in Web of Science</v>
      </c>
    </row>
    <row r="273" spans="1:72" x14ac:dyDescent="0.15">
      <c r="A273" t="s">
        <v>72</v>
      </c>
      <c r="B273" t="s">
        <v>4002</v>
      </c>
      <c r="C273" t="s">
        <v>74</v>
      </c>
      <c r="D273" t="s">
        <v>74</v>
      </c>
      <c r="E273" t="s">
        <v>74</v>
      </c>
      <c r="F273" t="s">
        <v>4002</v>
      </c>
      <c r="G273" t="s">
        <v>74</v>
      </c>
      <c r="H273" t="s">
        <v>74</v>
      </c>
      <c r="I273" t="s">
        <v>4003</v>
      </c>
      <c r="J273" t="s">
        <v>1415</v>
      </c>
      <c r="K273" t="s">
        <v>74</v>
      </c>
      <c r="L273" t="s">
        <v>74</v>
      </c>
      <c r="M273" t="s">
        <v>77</v>
      </c>
      <c r="N273" t="s">
        <v>120</v>
      </c>
      <c r="O273" t="s">
        <v>74</v>
      </c>
      <c r="P273" t="s">
        <v>74</v>
      </c>
      <c r="Q273" t="s">
        <v>74</v>
      </c>
      <c r="R273" t="s">
        <v>74</v>
      </c>
      <c r="S273" t="s">
        <v>74</v>
      </c>
      <c r="T273" t="s">
        <v>74</v>
      </c>
      <c r="U273" t="s">
        <v>4004</v>
      </c>
      <c r="V273" t="s">
        <v>4005</v>
      </c>
      <c r="W273" t="s">
        <v>4006</v>
      </c>
      <c r="X273" t="s">
        <v>419</v>
      </c>
      <c r="Y273" t="s">
        <v>4007</v>
      </c>
      <c r="Z273" t="s">
        <v>4008</v>
      </c>
      <c r="AA273" t="s">
        <v>74</v>
      </c>
      <c r="AB273" t="s">
        <v>4009</v>
      </c>
      <c r="AC273" t="s">
        <v>74</v>
      </c>
      <c r="AD273" t="s">
        <v>74</v>
      </c>
      <c r="AE273" t="s">
        <v>74</v>
      </c>
      <c r="AF273" t="s">
        <v>74</v>
      </c>
      <c r="AG273">
        <v>29</v>
      </c>
      <c r="AH273">
        <v>15</v>
      </c>
      <c r="AI273">
        <v>18</v>
      </c>
      <c r="AJ273">
        <v>0</v>
      </c>
      <c r="AK273">
        <v>2</v>
      </c>
      <c r="AL273" t="s">
        <v>248</v>
      </c>
      <c r="AM273" t="s">
        <v>204</v>
      </c>
      <c r="AN273" t="s">
        <v>1622</v>
      </c>
      <c r="AO273" t="s">
        <v>1421</v>
      </c>
      <c r="AP273" t="s">
        <v>74</v>
      </c>
      <c r="AQ273" t="s">
        <v>74</v>
      </c>
      <c r="AR273" t="s">
        <v>1422</v>
      </c>
      <c r="AS273" t="s">
        <v>1423</v>
      </c>
      <c r="AT273" t="s">
        <v>3219</v>
      </c>
      <c r="AU273">
        <v>2001</v>
      </c>
      <c r="AV273">
        <v>139</v>
      </c>
      <c r="AW273">
        <v>3</v>
      </c>
      <c r="AX273" t="s">
        <v>74</v>
      </c>
      <c r="AY273" t="s">
        <v>74</v>
      </c>
      <c r="AZ273" t="s">
        <v>74</v>
      </c>
      <c r="BA273" t="s">
        <v>74</v>
      </c>
      <c r="BB273">
        <v>597</v>
      </c>
      <c r="BC273">
        <v>603</v>
      </c>
      <c r="BD273" t="s">
        <v>74</v>
      </c>
      <c r="BE273" t="s">
        <v>74</v>
      </c>
      <c r="BF273" t="s">
        <v>74</v>
      </c>
      <c r="BG273" t="s">
        <v>74</v>
      </c>
      <c r="BH273" t="s">
        <v>74</v>
      </c>
      <c r="BI273">
        <v>7</v>
      </c>
      <c r="BJ273" t="s">
        <v>323</v>
      </c>
      <c r="BK273" t="s">
        <v>88</v>
      </c>
      <c r="BL273" t="s">
        <v>323</v>
      </c>
      <c r="BM273" t="s">
        <v>3990</v>
      </c>
      <c r="BN273" t="s">
        <v>74</v>
      </c>
      <c r="BO273" t="s">
        <v>74</v>
      </c>
      <c r="BP273" t="s">
        <v>74</v>
      </c>
      <c r="BQ273" t="s">
        <v>74</v>
      </c>
      <c r="BR273" t="s">
        <v>91</v>
      </c>
      <c r="BS273" t="s">
        <v>4010</v>
      </c>
      <c r="BT273" t="str">
        <f>HYPERLINK("https%3A%2F%2Fwww.webofscience.com%2Fwos%2Fwoscc%2Ffull-record%2FWOS:000171293800019","View Full Record in Web of Science")</f>
        <v>View Full Record in Web of Science</v>
      </c>
    </row>
    <row r="274" spans="1:72" x14ac:dyDescent="0.15">
      <c r="A274" t="s">
        <v>72</v>
      </c>
      <c r="B274" t="s">
        <v>4011</v>
      </c>
      <c r="C274" t="s">
        <v>74</v>
      </c>
      <c r="D274" t="s">
        <v>74</v>
      </c>
      <c r="E274" t="s">
        <v>74</v>
      </c>
      <c r="F274" t="s">
        <v>4011</v>
      </c>
      <c r="G274" t="s">
        <v>74</v>
      </c>
      <c r="H274" t="s">
        <v>74</v>
      </c>
      <c r="I274" t="s">
        <v>4012</v>
      </c>
      <c r="J274" t="s">
        <v>1428</v>
      </c>
      <c r="K274" t="s">
        <v>74</v>
      </c>
      <c r="L274" t="s">
        <v>74</v>
      </c>
      <c r="M274" t="s">
        <v>77</v>
      </c>
      <c r="N274" t="s">
        <v>120</v>
      </c>
      <c r="O274" t="s">
        <v>74</v>
      </c>
      <c r="P274" t="s">
        <v>74</v>
      </c>
      <c r="Q274" t="s">
        <v>74</v>
      </c>
      <c r="R274" t="s">
        <v>74</v>
      </c>
      <c r="S274" t="s">
        <v>74</v>
      </c>
      <c r="T274" t="s">
        <v>4013</v>
      </c>
      <c r="U274" t="s">
        <v>4014</v>
      </c>
      <c r="V274" t="s">
        <v>4015</v>
      </c>
      <c r="W274" t="s">
        <v>4016</v>
      </c>
      <c r="X274" t="s">
        <v>4017</v>
      </c>
      <c r="Y274" t="s">
        <v>4018</v>
      </c>
      <c r="Z274" t="s">
        <v>74</v>
      </c>
      <c r="AA274" t="s">
        <v>74</v>
      </c>
      <c r="AB274" t="s">
        <v>74</v>
      </c>
      <c r="AC274" t="s">
        <v>74</v>
      </c>
      <c r="AD274" t="s">
        <v>74</v>
      </c>
      <c r="AE274" t="s">
        <v>74</v>
      </c>
      <c r="AF274" t="s">
        <v>74</v>
      </c>
      <c r="AG274">
        <v>77</v>
      </c>
      <c r="AH274">
        <v>26</v>
      </c>
      <c r="AI274">
        <v>28</v>
      </c>
      <c r="AJ274">
        <v>0</v>
      </c>
      <c r="AK274">
        <v>14</v>
      </c>
      <c r="AL274" t="s">
        <v>488</v>
      </c>
      <c r="AM274" t="s">
        <v>350</v>
      </c>
      <c r="AN274" t="s">
        <v>489</v>
      </c>
      <c r="AO274" t="s">
        <v>1437</v>
      </c>
      <c r="AP274" t="s">
        <v>74</v>
      </c>
      <c r="AQ274" t="s">
        <v>74</v>
      </c>
      <c r="AR274" t="s">
        <v>1438</v>
      </c>
      <c r="AS274" t="s">
        <v>1439</v>
      </c>
      <c r="AT274" t="s">
        <v>3219</v>
      </c>
      <c r="AU274">
        <v>2001</v>
      </c>
      <c r="AV274">
        <v>75</v>
      </c>
      <c r="AW274">
        <v>4</v>
      </c>
      <c r="AX274" t="s">
        <v>74</v>
      </c>
      <c r="AY274" t="s">
        <v>74</v>
      </c>
      <c r="AZ274" t="s">
        <v>74</v>
      </c>
      <c r="BA274" t="s">
        <v>74</v>
      </c>
      <c r="BB274">
        <v>249</v>
      </c>
      <c r="BC274">
        <v>266</v>
      </c>
      <c r="BD274" t="s">
        <v>74</v>
      </c>
      <c r="BE274" t="s">
        <v>4019</v>
      </c>
      <c r="BF274" t="str">
        <f>HYPERLINK("http://dx.doi.org/10.1016/S0304-4203(01)00047-0","http://dx.doi.org/10.1016/S0304-4203(01)00047-0")</f>
        <v>http://dx.doi.org/10.1016/S0304-4203(01)00047-0</v>
      </c>
      <c r="BG274" t="s">
        <v>74</v>
      </c>
      <c r="BH274" t="s">
        <v>74</v>
      </c>
      <c r="BI274">
        <v>18</v>
      </c>
      <c r="BJ274" t="s">
        <v>1441</v>
      </c>
      <c r="BK274" t="s">
        <v>88</v>
      </c>
      <c r="BL274" t="s">
        <v>1442</v>
      </c>
      <c r="BM274" t="s">
        <v>4020</v>
      </c>
      <c r="BN274" t="s">
        <v>74</v>
      </c>
      <c r="BO274" t="s">
        <v>74</v>
      </c>
      <c r="BP274" t="s">
        <v>74</v>
      </c>
      <c r="BQ274" t="s">
        <v>74</v>
      </c>
      <c r="BR274" t="s">
        <v>91</v>
      </c>
      <c r="BS274" t="s">
        <v>4021</v>
      </c>
      <c r="BT274" t="str">
        <f>HYPERLINK("https%3A%2F%2Fwww.webofscience.com%2Fwos%2Fwoscc%2Ffull-record%2FWOS:000170853100001","View Full Record in Web of Science")</f>
        <v>View Full Record in Web of Science</v>
      </c>
    </row>
    <row r="275" spans="1:72" x14ac:dyDescent="0.15">
      <c r="A275" t="s">
        <v>72</v>
      </c>
      <c r="B275" t="s">
        <v>4022</v>
      </c>
      <c r="C275" t="s">
        <v>74</v>
      </c>
      <c r="D275" t="s">
        <v>74</v>
      </c>
      <c r="E275" t="s">
        <v>74</v>
      </c>
      <c r="F275" t="s">
        <v>4022</v>
      </c>
      <c r="G275" t="s">
        <v>74</v>
      </c>
      <c r="H275" t="s">
        <v>74</v>
      </c>
      <c r="I275" t="s">
        <v>4023</v>
      </c>
      <c r="J275" t="s">
        <v>4024</v>
      </c>
      <c r="K275" t="s">
        <v>74</v>
      </c>
      <c r="L275" t="s">
        <v>74</v>
      </c>
      <c r="M275" t="s">
        <v>77</v>
      </c>
      <c r="N275" t="s">
        <v>120</v>
      </c>
      <c r="O275" t="s">
        <v>74</v>
      </c>
      <c r="P275" t="s">
        <v>74</v>
      </c>
      <c r="Q275" t="s">
        <v>74</v>
      </c>
      <c r="R275" t="s">
        <v>74</v>
      </c>
      <c r="S275" t="s">
        <v>74</v>
      </c>
      <c r="T275" t="s">
        <v>74</v>
      </c>
      <c r="U275" t="s">
        <v>74</v>
      </c>
      <c r="V275" t="s">
        <v>4025</v>
      </c>
      <c r="W275" t="s">
        <v>4026</v>
      </c>
      <c r="X275" t="s">
        <v>4027</v>
      </c>
      <c r="Y275" t="s">
        <v>4028</v>
      </c>
      <c r="Z275" t="s">
        <v>74</v>
      </c>
      <c r="AA275" t="s">
        <v>74</v>
      </c>
      <c r="AB275" t="s">
        <v>74</v>
      </c>
      <c r="AC275" t="s">
        <v>74</v>
      </c>
      <c r="AD275" t="s">
        <v>74</v>
      </c>
      <c r="AE275" t="s">
        <v>74</v>
      </c>
      <c r="AF275" t="s">
        <v>74</v>
      </c>
      <c r="AG275">
        <v>7</v>
      </c>
      <c r="AH275">
        <v>0</v>
      </c>
      <c r="AI275">
        <v>0</v>
      </c>
      <c r="AJ275">
        <v>0</v>
      </c>
      <c r="AK275">
        <v>0</v>
      </c>
      <c r="AL275" t="s">
        <v>4029</v>
      </c>
      <c r="AM275" t="s">
        <v>150</v>
      </c>
      <c r="AN275" t="s">
        <v>4030</v>
      </c>
      <c r="AO275" t="s">
        <v>4031</v>
      </c>
      <c r="AP275" t="s">
        <v>74</v>
      </c>
      <c r="AQ275" t="s">
        <v>74</v>
      </c>
      <c r="AR275" t="s">
        <v>4032</v>
      </c>
      <c r="AS275" t="s">
        <v>4033</v>
      </c>
      <c r="AT275" t="s">
        <v>4034</v>
      </c>
      <c r="AU275">
        <v>2001</v>
      </c>
      <c r="AV275">
        <v>35</v>
      </c>
      <c r="AW275">
        <v>3</v>
      </c>
      <c r="AX275" t="s">
        <v>74</v>
      </c>
      <c r="AY275" t="s">
        <v>74</v>
      </c>
      <c r="AZ275" t="s">
        <v>74</v>
      </c>
      <c r="BA275" t="s">
        <v>74</v>
      </c>
      <c r="BB275">
        <v>23</v>
      </c>
      <c r="BC275">
        <v>30</v>
      </c>
      <c r="BD275" t="s">
        <v>74</v>
      </c>
      <c r="BE275" t="s">
        <v>4035</v>
      </c>
      <c r="BF275" t="str">
        <f>HYPERLINK("http://dx.doi.org/10.4031/002533201788057891","http://dx.doi.org/10.4031/002533201788057891")</f>
        <v>http://dx.doi.org/10.4031/002533201788057891</v>
      </c>
      <c r="BG275" t="s">
        <v>74</v>
      </c>
      <c r="BH275" t="s">
        <v>74</v>
      </c>
      <c r="BI275">
        <v>8</v>
      </c>
      <c r="BJ275" t="s">
        <v>4036</v>
      </c>
      <c r="BK275" t="s">
        <v>88</v>
      </c>
      <c r="BL275" t="s">
        <v>4037</v>
      </c>
      <c r="BM275" t="s">
        <v>4038</v>
      </c>
      <c r="BN275" t="s">
        <v>74</v>
      </c>
      <c r="BO275" t="s">
        <v>359</v>
      </c>
      <c r="BP275" t="s">
        <v>74</v>
      </c>
      <c r="BQ275" t="s">
        <v>74</v>
      </c>
      <c r="BR275" t="s">
        <v>91</v>
      </c>
      <c r="BS275" t="s">
        <v>4039</v>
      </c>
      <c r="BT275" t="str">
        <f>HYPERLINK("https%3A%2F%2Fwww.webofscience.com%2Fwos%2Fwoscc%2Ffull-record%2FWOS:000172134000006","View Full Record in Web of Science")</f>
        <v>View Full Record in Web of Science</v>
      </c>
    </row>
    <row r="276" spans="1:72" x14ac:dyDescent="0.15">
      <c r="A276" t="s">
        <v>72</v>
      </c>
      <c r="B276" t="s">
        <v>4040</v>
      </c>
      <c r="C276" t="s">
        <v>74</v>
      </c>
      <c r="D276" t="s">
        <v>74</v>
      </c>
      <c r="E276" t="s">
        <v>74</v>
      </c>
      <c r="F276" t="s">
        <v>4040</v>
      </c>
      <c r="G276" t="s">
        <v>74</v>
      </c>
      <c r="H276" t="s">
        <v>74</v>
      </c>
      <c r="I276" t="s">
        <v>4041</v>
      </c>
      <c r="J276" t="s">
        <v>4024</v>
      </c>
      <c r="K276" t="s">
        <v>74</v>
      </c>
      <c r="L276" t="s">
        <v>74</v>
      </c>
      <c r="M276" t="s">
        <v>77</v>
      </c>
      <c r="N276" t="s">
        <v>120</v>
      </c>
      <c r="O276" t="s">
        <v>74</v>
      </c>
      <c r="P276" t="s">
        <v>74</v>
      </c>
      <c r="Q276" t="s">
        <v>74</v>
      </c>
      <c r="R276" t="s">
        <v>74</v>
      </c>
      <c r="S276" t="s">
        <v>74</v>
      </c>
      <c r="T276" t="s">
        <v>74</v>
      </c>
      <c r="U276" t="s">
        <v>74</v>
      </c>
      <c r="V276" t="s">
        <v>4042</v>
      </c>
      <c r="W276" t="s">
        <v>74</v>
      </c>
      <c r="X276" t="s">
        <v>74</v>
      </c>
      <c r="Y276" t="s">
        <v>74</v>
      </c>
      <c r="Z276" t="s">
        <v>74</v>
      </c>
      <c r="AA276" t="s">
        <v>74</v>
      </c>
      <c r="AB276" t="s">
        <v>74</v>
      </c>
      <c r="AC276" t="s">
        <v>74</v>
      </c>
      <c r="AD276" t="s">
        <v>74</v>
      </c>
      <c r="AE276" t="s">
        <v>74</v>
      </c>
      <c r="AF276" t="s">
        <v>74</v>
      </c>
      <c r="AG276">
        <v>15</v>
      </c>
      <c r="AH276">
        <v>1</v>
      </c>
      <c r="AI276">
        <v>1</v>
      </c>
      <c r="AJ276">
        <v>0</v>
      </c>
      <c r="AK276">
        <v>9</v>
      </c>
      <c r="AL276" t="s">
        <v>4029</v>
      </c>
      <c r="AM276" t="s">
        <v>4043</v>
      </c>
      <c r="AN276" t="s">
        <v>4044</v>
      </c>
      <c r="AO276" t="s">
        <v>4031</v>
      </c>
      <c r="AP276" t="s">
        <v>4045</v>
      </c>
      <c r="AQ276" t="s">
        <v>74</v>
      </c>
      <c r="AR276" t="s">
        <v>4032</v>
      </c>
      <c r="AS276" t="s">
        <v>4033</v>
      </c>
      <c r="AT276" t="s">
        <v>4034</v>
      </c>
      <c r="AU276">
        <v>2001</v>
      </c>
      <c r="AV276">
        <v>35</v>
      </c>
      <c r="AW276">
        <v>3</v>
      </c>
      <c r="AX276" t="s">
        <v>74</v>
      </c>
      <c r="AY276" t="s">
        <v>74</v>
      </c>
      <c r="AZ276" t="s">
        <v>74</v>
      </c>
      <c r="BA276" t="s">
        <v>74</v>
      </c>
      <c r="BB276">
        <v>31</v>
      </c>
      <c r="BC276">
        <v>37</v>
      </c>
      <c r="BD276" t="s">
        <v>74</v>
      </c>
      <c r="BE276" t="s">
        <v>4046</v>
      </c>
      <c r="BF276" t="str">
        <f>HYPERLINK("http://dx.doi.org/10.4031/002533201788057882","http://dx.doi.org/10.4031/002533201788057882")</f>
        <v>http://dx.doi.org/10.4031/002533201788057882</v>
      </c>
      <c r="BG276" t="s">
        <v>74</v>
      </c>
      <c r="BH276" t="s">
        <v>74</v>
      </c>
      <c r="BI276">
        <v>7</v>
      </c>
      <c r="BJ276" t="s">
        <v>4036</v>
      </c>
      <c r="BK276" t="s">
        <v>88</v>
      </c>
      <c r="BL276" t="s">
        <v>4037</v>
      </c>
      <c r="BM276" t="s">
        <v>4038</v>
      </c>
      <c r="BN276" t="s">
        <v>74</v>
      </c>
      <c r="BO276" t="s">
        <v>359</v>
      </c>
      <c r="BP276" t="s">
        <v>74</v>
      </c>
      <c r="BQ276" t="s">
        <v>74</v>
      </c>
      <c r="BR276" t="s">
        <v>91</v>
      </c>
      <c r="BS276" t="s">
        <v>4047</v>
      </c>
      <c r="BT276" t="str">
        <f>HYPERLINK("https%3A%2F%2Fwww.webofscience.com%2Fwos%2Fwoscc%2Ffull-record%2FWOS:000172134000007","View Full Record in Web of Science")</f>
        <v>View Full Record in Web of Science</v>
      </c>
    </row>
    <row r="277" spans="1:72" x14ac:dyDescent="0.15">
      <c r="A277" t="s">
        <v>72</v>
      </c>
      <c r="B277" t="s">
        <v>4048</v>
      </c>
      <c r="C277" t="s">
        <v>74</v>
      </c>
      <c r="D277" t="s">
        <v>74</v>
      </c>
      <c r="E277" t="s">
        <v>74</v>
      </c>
      <c r="F277" t="s">
        <v>4048</v>
      </c>
      <c r="G277" t="s">
        <v>74</v>
      </c>
      <c r="H277" t="s">
        <v>74</v>
      </c>
      <c r="I277" t="s">
        <v>4049</v>
      </c>
      <c r="J277" t="s">
        <v>1468</v>
      </c>
      <c r="K277" t="s">
        <v>74</v>
      </c>
      <c r="L277" t="s">
        <v>74</v>
      </c>
      <c r="M277" t="s">
        <v>77</v>
      </c>
      <c r="N277" t="s">
        <v>120</v>
      </c>
      <c r="O277" t="s">
        <v>74</v>
      </c>
      <c r="P277" t="s">
        <v>74</v>
      </c>
      <c r="Q277" t="s">
        <v>74</v>
      </c>
      <c r="R277" t="s">
        <v>74</v>
      </c>
      <c r="S277" t="s">
        <v>74</v>
      </c>
      <c r="T277" t="s">
        <v>74</v>
      </c>
      <c r="U277" t="s">
        <v>74</v>
      </c>
      <c r="V277" t="s">
        <v>4050</v>
      </c>
      <c r="W277" t="s">
        <v>4051</v>
      </c>
      <c r="X277" t="s">
        <v>4052</v>
      </c>
      <c r="Y277" t="s">
        <v>4053</v>
      </c>
      <c r="Z277" t="s">
        <v>4054</v>
      </c>
      <c r="AA277" t="s">
        <v>74</v>
      </c>
      <c r="AB277" t="s">
        <v>74</v>
      </c>
      <c r="AC277" t="s">
        <v>74</v>
      </c>
      <c r="AD277" t="s">
        <v>74</v>
      </c>
      <c r="AE277" t="s">
        <v>74</v>
      </c>
      <c r="AF277" t="s">
        <v>74</v>
      </c>
      <c r="AG277">
        <v>13</v>
      </c>
      <c r="AH277">
        <v>93</v>
      </c>
      <c r="AI277">
        <v>99</v>
      </c>
      <c r="AJ277">
        <v>0</v>
      </c>
      <c r="AK277">
        <v>1</v>
      </c>
      <c r="AL277" t="s">
        <v>1247</v>
      </c>
      <c r="AM277" t="s">
        <v>1248</v>
      </c>
      <c r="AN277" t="s">
        <v>1249</v>
      </c>
      <c r="AO277" t="s">
        <v>1479</v>
      </c>
      <c r="AP277" t="s">
        <v>4055</v>
      </c>
      <c r="AQ277" t="s">
        <v>74</v>
      </c>
      <c r="AR277" t="s">
        <v>1480</v>
      </c>
      <c r="AS277" t="s">
        <v>1481</v>
      </c>
      <c r="AT277" t="s">
        <v>3219</v>
      </c>
      <c r="AU277">
        <v>2001</v>
      </c>
      <c r="AV277">
        <v>36</v>
      </c>
      <c r="AW277">
        <v>9</v>
      </c>
      <c r="AX277" t="s">
        <v>74</v>
      </c>
      <c r="AY277" t="s">
        <v>298</v>
      </c>
      <c r="AZ277" t="s">
        <v>74</v>
      </c>
      <c r="BA277" t="s">
        <v>74</v>
      </c>
      <c r="BB277" t="s">
        <v>4056</v>
      </c>
      <c r="BC277" t="s">
        <v>4057</v>
      </c>
      <c r="BD277" t="s">
        <v>74</v>
      </c>
      <c r="BE277" t="s">
        <v>4058</v>
      </c>
      <c r="BF277" t="str">
        <f>HYPERLINK("http://dx.doi.org/10.1111/j.1945-5100.2001.tb01542.x","http://dx.doi.org/10.1111/j.1945-5100.2001.tb01542.x")</f>
        <v>http://dx.doi.org/10.1111/j.1945-5100.2001.tb01542.x</v>
      </c>
      <c r="BG277" t="s">
        <v>74</v>
      </c>
      <c r="BH277" t="s">
        <v>74</v>
      </c>
      <c r="BI277">
        <v>30</v>
      </c>
      <c r="BJ277" t="s">
        <v>388</v>
      </c>
      <c r="BK277" t="s">
        <v>88</v>
      </c>
      <c r="BL277" t="s">
        <v>388</v>
      </c>
      <c r="BM277" t="s">
        <v>4059</v>
      </c>
      <c r="BN277" t="s">
        <v>74</v>
      </c>
      <c r="BO277" t="s">
        <v>171</v>
      </c>
      <c r="BP277" t="s">
        <v>74</v>
      </c>
      <c r="BQ277" t="s">
        <v>74</v>
      </c>
      <c r="BR277" t="s">
        <v>91</v>
      </c>
      <c r="BS277" t="s">
        <v>4060</v>
      </c>
      <c r="BT277" t="str">
        <f>HYPERLINK("https%3A%2F%2Fwww.webofscience.com%2Fwos%2Fwoscc%2Ffull-record%2FWOS:000171462100012","View Full Record in Web of Science")</f>
        <v>View Full Record in Web of Science</v>
      </c>
    </row>
    <row r="278" spans="1:72" x14ac:dyDescent="0.15">
      <c r="A278" t="s">
        <v>72</v>
      </c>
      <c r="B278" t="s">
        <v>4061</v>
      </c>
      <c r="C278" t="s">
        <v>74</v>
      </c>
      <c r="D278" t="s">
        <v>74</v>
      </c>
      <c r="E278" t="s">
        <v>74</v>
      </c>
      <c r="F278" t="s">
        <v>4061</v>
      </c>
      <c r="G278" t="s">
        <v>74</v>
      </c>
      <c r="H278" t="s">
        <v>74</v>
      </c>
      <c r="I278" t="s">
        <v>4062</v>
      </c>
      <c r="J278" t="s">
        <v>4063</v>
      </c>
      <c r="K278" t="s">
        <v>74</v>
      </c>
      <c r="L278" t="s">
        <v>74</v>
      </c>
      <c r="M278" t="s">
        <v>77</v>
      </c>
      <c r="N278" t="s">
        <v>96</v>
      </c>
      <c r="O278" t="s">
        <v>74</v>
      </c>
      <c r="P278" t="s">
        <v>74</v>
      </c>
      <c r="Q278" t="s">
        <v>74</v>
      </c>
      <c r="R278" t="s">
        <v>74</v>
      </c>
      <c r="S278" t="s">
        <v>74</v>
      </c>
      <c r="T278" t="s">
        <v>4064</v>
      </c>
      <c r="U278" t="s">
        <v>4065</v>
      </c>
      <c r="V278" t="s">
        <v>4066</v>
      </c>
      <c r="W278" t="s">
        <v>4067</v>
      </c>
      <c r="X278" t="s">
        <v>4068</v>
      </c>
      <c r="Y278" t="s">
        <v>4069</v>
      </c>
      <c r="Z278" t="s">
        <v>74</v>
      </c>
      <c r="AA278" t="s">
        <v>4070</v>
      </c>
      <c r="AB278" t="s">
        <v>4071</v>
      </c>
      <c r="AC278" t="s">
        <v>74</v>
      </c>
      <c r="AD278" t="s">
        <v>74</v>
      </c>
      <c r="AE278" t="s">
        <v>74</v>
      </c>
      <c r="AF278" t="s">
        <v>74</v>
      </c>
      <c r="AG278">
        <v>163</v>
      </c>
      <c r="AH278">
        <v>33</v>
      </c>
      <c r="AI278">
        <v>36</v>
      </c>
      <c r="AJ278">
        <v>0</v>
      </c>
      <c r="AK278">
        <v>22</v>
      </c>
      <c r="AL278" t="s">
        <v>4072</v>
      </c>
      <c r="AM278" t="s">
        <v>4073</v>
      </c>
      <c r="AN278" t="s">
        <v>4074</v>
      </c>
      <c r="AO278" t="s">
        <v>4075</v>
      </c>
      <c r="AP278" t="s">
        <v>74</v>
      </c>
      <c r="AQ278" t="s">
        <v>74</v>
      </c>
      <c r="AR278" t="s">
        <v>4076</v>
      </c>
      <c r="AS278" t="s">
        <v>4077</v>
      </c>
      <c r="AT278" t="s">
        <v>3219</v>
      </c>
      <c r="AU278">
        <v>2001</v>
      </c>
      <c r="AV278">
        <v>35</v>
      </c>
      <c r="AW278">
        <v>3</v>
      </c>
      <c r="AX278" t="s">
        <v>74</v>
      </c>
      <c r="AY278" t="s">
        <v>74</v>
      </c>
      <c r="AZ278" t="s">
        <v>74</v>
      </c>
      <c r="BA278" t="s">
        <v>74</v>
      </c>
      <c r="BB278">
        <v>477</v>
      </c>
      <c r="BC278">
        <v>497</v>
      </c>
      <c r="BD278" t="s">
        <v>74</v>
      </c>
      <c r="BE278" t="s">
        <v>4078</v>
      </c>
      <c r="BF278" t="str">
        <f>HYPERLINK("http://dx.doi.org/10.1080/00288330.2001.9517017","http://dx.doi.org/10.1080/00288330.2001.9517017")</f>
        <v>http://dx.doi.org/10.1080/00288330.2001.9517017</v>
      </c>
      <c r="BG278" t="s">
        <v>74</v>
      </c>
      <c r="BH278" t="s">
        <v>74</v>
      </c>
      <c r="BI278">
        <v>21</v>
      </c>
      <c r="BJ278" t="s">
        <v>4079</v>
      </c>
      <c r="BK278" t="s">
        <v>4080</v>
      </c>
      <c r="BL278" t="s">
        <v>4079</v>
      </c>
      <c r="BM278" t="s">
        <v>4081</v>
      </c>
      <c r="BN278" t="s">
        <v>74</v>
      </c>
      <c r="BO278" t="s">
        <v>74</v>
      </c>
      <c r="BP278" t="s">
        <v>74</v>
      </c>
      <c r="BQ278" t="s">
        <v>74</v>
      </c>
      <c r="BR278" t="s">
        <v>91</v>
      </c>
      <c r="BS278" t="s">
        <v>4082</v>
      </c>
      <c r="BT278" t="str">
        <f>HYPERLINK("https%3A%2F%2Fwww.webofscience.com%2Fwos%2Fwoscc%2Ffull-record%2FWOS:000172298700006","View Full Record in Web of Science")</f>
        <v>View Full Record in Web of Science</v>
      </c>
    </row>
    <row r="279" spans="1:72" x14ac:dyDescent="0.15">
      <c r="A279" t="s">
        <v>72</v>
      </c>
      <c r="B279" t="s">
        <v>4083</v>
      </c>
      <c r="C279" t="s">
        <v>74</v>
      </c>
      <c r="D279" t="s">
        <v>74</v>
      </c>
      <c r="E279" t="s">
        <v>74</v>
      </c>
      <c r="F279" t="s">
        <v>4083</v>
      </c>
      <c r="G279" t="s">
        <v>74</v>
      </c>
      <c r="H279" t="s">
        <v>74</v>
      </c>
      <c r="I279" t="s">
        <v>4084</v>
      </c>
      <c r="J279" t="s">
        <v>4063</v>
      </c>
      <c r="K279" t="s">
        <v>74</v>
      </c>
      <c r="L279" t="s">
        <v>74</v>
      </c>
      <c r="M279" t="s">
        <v>77</v>
      </c>
      <c r="N279" t="s">
        <v>120</v>
      </c>
      <c r="O279" t="s">
        <v>74</v>
      </c>
      <c r="P279" t="s">
        <v>74</v>
      </c>
      <c r="Q279" t="s">
        <v>74</v>
      </c>
      <c r="R279" t="s">
        <v>74</v>
      </c>
      <c r="S279" t="s">
        <v>74</v>
      </c>
      <c r="T279" t="s">
        <v>4085</v>
      </c>
      <c r="U279" t="s">
        <v>4086</v>
      </c>
      <c r="V279" t="s">
        <v>4087</v>
      </c>
      <c r="W279" t="s">
        <v>4088</v>
      </c>
      <c r="X279" t="s">
        <v>1917</v>
      </c>
      <c r="Y279" t="s">
        <v>4089</v>
      </c>
      <c r="Z279" t="s">
        <v>74</v>
      </c>
      <c r="AA279" t="s">
        <v>74</v>
      </c>
      <c r="AB279" t="s">
        <v>74</v>
      </c>
      <c r="AC279" t="s">
        <v>74</v>
      </c>
      <c r="AD279" t="s">
        <v>74</v>
      </c>
      <c r="AE279" t="s">
        <v>74</v>
      </c>
      <c r="AF279" t="s">
        <v>74</v>
      </c>
      <c r="AG279">
        <v>23</v>
      </c>
      <c r="AH279">
        <v>85</v>
      </c>
      <c r="AI279">
        <v>87</v>
      </c>
      <c r="AJ279">
        <v>1</v>
      </c>
      <c r="AK279">
        <v>15</v>
      </c>
      <c r="AL279" t="s">
        <v>4072</v>
      </c>
      <c r="AM279" t="s">
        <v>4073</v>
      </c>
      <c r="AN279" t="s">
        <v>4074</v>
      </c>
      <c r="AO279" t="s">
        <v>4075</v>
      </c>
      <c r="AP279" t="s">
        <v>74</v>
      </c>
      <c r="AQ279" t="s">
        <v>74</v>
      </c>
      <c r="AR279" t="s">
        <v>4076</v>
      </c>
      <c r="AS279" t="s">
        <v>4077</v>
      </c>
      <c r="AT279" t="s">
        <v>3219</v>
      </c>
      <c r="AU279">
        <v>2001</v>
      </c>
      <c r="AV279">
        <v>35</v>
      </c>
      <c r="AW279">
        <v>3</v>
      </c>
      <c r="AX279" t="s">
        <v>74</v>
      </c>
      <c r="AY279" t="s">
        <v>74</v>
      </c>
      <c r="AZ279" t="s">
        <v>74</v>
      </c>
      <c r="BA279" t="s">
        <v>74</v>
      </c>
      <c r="BB279">
        <v>499</v>
      </c>
      <c r="BC279">
        <v>519</v>
      </c>
      <c r="BD279" t="s">
        <v>74</v>
      </c>
      <c r="BE279" t="s">
        <v>4090</v>
      </c>
      <c r="BF279" t="str">
        <f>HYPERLINK("http://dx.doi.org/10.1080/00288330.2001.9517018","http://dx.doi.org/10.1080/00288330.2001.9517018")</f>
        <v>http://dx.doi.org/10.1080/00288330.2001.9517018</v>
      </c>
      <c r="BG279" t="s">
        <v>74</v>
      </c>
      <c r="BH279" t="s">
        <v>74</v>
      </c>
      <c r="BI279">
        <v>21</v>
      </c>
      <c r="BJ279" t="s">
        <v>4079</v>
      </c>
      <c r="BK279" t="s">
        <v>88</v>
      </c>
      <c r="BL279" t="s">
        <v>4079</v>
      </c>
      <c r="BM279" t="s">
        <v>4081</v>
      </c>
      <c r="BN279" t="s">
        <v>74</v>
      </c>
      <c r="BO279" t="s">
        <v>74</v>
      </c>
      <c r="BP279" t="s">
        <v>74</v>
      </c>
      <c r="BQ279" t="s">
        <v>74</v>
      </c>
      <c r="BR279" t="s">
        <v>91</v>
      </c>
      <c r="BS279" t="s">
        <v>4091</v>
      </c>
      <c r="BT279" t="str">
        <f>HYPERLINK("https%3A%2F%2Fwww.webofscience.com%2Fwos%2Fwoscc%2Ffull-record%2FWOS:000172298700007","View Full Record in Web of Science")</f>
        <v>View Full Record in Web of Science</v>
      </c>
    </row>
    <row r="280" spans="1:72" x14ac:dyDescent="0.15">
      <c r="A280" t="s">
        <v>72</v>
      </c>
      <c r="B280" t="s">
        <v>4092</v>
      </c>
      <c r="C280" t="s">
        <v>74</v>
      </c>
      <c r="D280" t="s">
        <v>74</v>
      </c>
      <c r="E280" t="s">
        <v>74</v>
      </c>
      <c r="F280" t="s">
        <v>4092</v>
      </c>
      <c r="G280" t="s">
        <v>74</v>
      </c>
      <c r="H280" t="s">
        <v>74</v>
      </c>
      <c r="I280" t="s">
        <v>4093</v>
      </c>
      <c r="J280" t="s">
        <v>4063</v>
      </c>
      <c r="K280" t="s">
        <v>74</v>
      </c>
      <c r="L280" t="s">
        <v>74</v>
      </c>
      <c r="M280" t="s">
        <v>77</v>
      </c>
      <c r="N280" t="s">
        <v>120</v>
      </c>
      <c r="O280" t="s">
        <v>74</v>
      </c>
      <c r="P280" t="s">
        <v>74</v>
      </c>
      <c r="Q280" t="s">
        <v>74</v>
      </c>
      <c r="R280" t="s">
        <v>74</v>
      </c>
      <c r="S280" t="s">
        <v>74</v>
      </c>
      <c r="T280" t="s">
        <v>4094</v>
      </c>
      <c r="U280" t="s">
        <v>4095</v>
      </c>
      <c r="V280" t="s">
        <v>4096</v>
      </c>
      <c r="W280" t="s">
        <v>4097</v>
      </c>
      <c r="X280" t="s">
        <v>4098</v>
      </c>
      <c r="Y280" t="s">
        <v>4099</v>
      </c>
      <c r="Z280" t="s">
        <v>74</v>
      </c>
      <c r="AA280" t="s">
        <v>74</v>
      </c>
      <c r="AB280" t="s">
        <v>4100</v>
      </c>
      <c r="AC280" t="s">
        <v>74</v>
      </c>
      <c r="AD280" t="s">
        <v>74</v>
      </c>
      <c r="AE280" t="s">
        <v>74</v>
      </c>
      <c r="AF280" t="s">
        <v>74</v>
      </c>
      <c r="AG280">
        <v>13</v>
      </c>
      <c r="AH280">
        <v>32</v>
      </c>
      <c r="AI280">
        <v>32</v>
      </c>
      <c r="AJ280">
        <v>0</v>
      </c>
      <c r="AK280">
        <v>4</v>
      </c>
      <c r="AL280" t="s">
        <v>4072</v>
      </c>
      <c r="AM280" t="s">
        <v>4073</v>
      </c>
      <c r="AN280" t="s">
        <v>4074</v>
      </c>
      <c r="AO280" t="s">
        <v>4075</v>
      </c>
      <c r="AP280" t="s">
        <v>74</v>
      </c>
      <c r="AQ280" t="s">
        <v>74</v>
      </c>
      <c r="AR280" t="s">
        <v>4076</v>
      </c>
      <c r="AS280" t="s">
        <v>4077</v>
      </c>
      <c r="AT280" t="s">
        <v>3219</v>
      </c>
      <c r="AU280">
        <v>2001</v>
      </c>
      <c r="AV280">
        <v>35</v>
      </c>
      <c r="AW280">
        <v>3</v>
      </c>
      <c r="AX280" t="s">
        <v>74</v>
      </c>
      <c r="AY280" t="s">
        <v>74</v>
      </c>
      <c r="AZ280" t="s">
        <v>74</v>
      </c>
      <c r="BA280" t="s">
        <v>74</v>
      </c>
      <c r="BB280">
        <v>553</v>
      </c>
      <c r="BC280">
        <v>565</v>
      </c>
      <c r="BD280" t="s">
        <v>74</v>
      </c>
      <c r="BE280" t="s">
        <v>4101</v>
      </c>
      <c r="BF280" t="str">
        <f>HYPERLINK("http://dx.doi.org/10.1080/00288330.2001.9517022","http://dx.doi.org/10.1080/00288330.2001.9517022")</f>
        <v>http://dx.doi.org/10.1080/00288330.2001.9517022</v>
      </c>
      <c r="BG280" t="s">
        <v>74</v>
      </c>
      <c r="BH280" t="s">
        <v>74</v>
      </c>
      <c r="BI280">
        <v>13</v>
      </c>
      <c r="BJ280" t="s">
        <v>4079</v>
      </c>
      <c r="BK280" t="s">
        <v>88</v>
      </c>
      <c r="BL280" t="s">
        <v>4079</v>
      </c>
      <c r="BM280" t="s">
        <v>4081</v>
      </c>
      <c r="BN280" t="s">
        <v>74</v>
      </c>
      <c r="BO280" t="s">
        <v>74</v>
      </c>
      <c r="BP280" t="s">
        <v>74</v>
      </c>
      <c r="BQ280" t="s">
        <v>74</v>
      </c>
      <c r="BR280" t="s">
        <v>91</v>
      </c>
      <c r="BS280" t="s">
        <v>4102</v>
      </c>
      <c r="BT280" t="str">
        <f>HYPERLINK("https%3A%2F%2Fwww.webofscience.com%2Fwos%2Fwoscc%2Ffull-record%2FWOS:000172298700011","View Full Record in Web of Science")</f>
        <v>View Full Record in Web of Science</v>
      </c>
    </row>
    <row r="281" spans="1:72" x14ac:dyDescent="0.15">
      <c r="A281" t="s">
        <v>72</v>
      </c>
      <c r="B281" t="s">
        <v>4103</v>
      </c>
      <c r="C281" t="s">
        <v>74</v>
      </c>
      <c r="D281" t="s">
        <v>74</v>
      </c>
      <c r="E281" t="s">
        <v>74</v>
      </c>
      <c r="F281" t="s">
        <v>4103</v>
      </c>
      <c r="G281" t="s">
        <v>74</v>
      </c>
      <c r="H281" t="s">
        <v>74</v>
      </c>
      <c r="I281" t="s">
        <v>4104</v>
      </c>
      <c r="J281" t="s">
        <v>4063</v>
      </c>
      <c r="K281" t="s">
        <v>74</v>
      </c>
      <c r="L281" t="s">
        <v>74</v>
      </c>
      <c r="M281" t="s">
        <v>77</v>
      </c>
      <c r="N281" t="s">
        <v>435</v>
      </c>
      <c r="O281" t="s">
        <v>4105</v>
      </c>
      <c r="P281" t="s">
        <v>4106</v>
      </c>
      <c r="Q281" t="s">
        <v>4107</v>
      </c>
      <c r="R281" t="s">
        <v>74</v>
      </c>
      <c r="S281" t="s">
        <v>4108</v>
      </c>
      <c r="T281" t="s">
        <v>4109</v>
      </c>
      <c r="U281" t="s">
        <v>4110</v>
      </c>
      <c r="V281" t="s">
        <v>4111</v>
      </c>
      <c r="W281" t="s">
        <v>4112</v>
      </c>
      <c r="X281" t="s">
        <v>1917</v>
      </c>
      <c r="Y281" t="s">
        <v>4113</v>
      </c>
      <c r="Z281" t="s">
        <v>74</v>
      </c>
      <c r="AA281" t="s">
        <v>74</v>
      </c>
      <c r="AB281" t="s">
        <v>4114</v>
      </c>
      <c r="AC281" t="s">
        <v>74</v>
      </c>
      <c r="AD281" t="s">
        <v>74</v>
      </c>
      <c r="AE281" t="s">
        <v>74</v>
      </c>
      <c r="AF281" t="s">
        <v>74</v>
      </c>
      <c r="AG281">
        <v>26</v>
      </c>
      <c r="AH281">
        <v>10</v>
      </c>
      <c r="AI281">
        <v>13</v>
      </c>
      <c r="AJ281">
        <v>0</v>
      </c>
      <c r="AK281">
        <v>2</v>
      </c>
      <c r="AL281" t="s">
        <v>4072</v>
      </c>
      <c r="AM281" t="s">
        <v>4073</v>
      </c>
      <c r="AN281" t="s">
        <v>4074</v>
      </c>
      <c r="AO281" t="s">
        <v>4075</v>
      </c>
      <c r="AP281" t="s">
        <v>74</v>
      </c>
      <c r="AQ281" t="s">
        <v>74</v>
      </c>
      <c r="AR281" t="s">
        <v>4076</v>
      </c>
      <c r="AS281" t="s">
        <v>4077</v>
      </c>
      <c r="AT281" t="s">
        <v>3219</v>
      </c>
      <c r="AU281">
        <v>2001</v>
      </c>
      <c r="AV281">
        <v>35</v>
      </c>
      <c r="AW281">
        <v>4</v>
      </c>
      <c r="AX281" t="s">
        <v>74</v>
      </c>
      <c r="AY281" t="s">
        <v>74</v>
      </c>
      <c r="AZ281" t="s">
        <v>74</v>
      </c>
      <c r="BA281" t="s">
        <v>74</v>
      </c>
      <c r="BB281">
        <v>781</v>
      </c>
      <c r="BC281">
        <v>793</v>
      </c>
      <c r="BD281" t="s">
        <v>74</v>
      </c>
      <c r="BE281" t="s">
        <v>4115</v>
      </c>
      <c r="BF281" t="str">
        <f>HYPERLINK("http://dx.doi.org/10.1080/00288330.2001.9517042","http://dx.doi.org/10.1080/00288330.2001.9517042")</f>
        <v>http://dx.doi.org/10.1080/00288330.2001.9517042</v>
      </c>
      <c r="BG281" t="s">
        <v>74</v>
      </c>
      <c r="BH281" t="s">
        <v>74</v>
      </c>
      <c r="BI281">
        <v>13</v>
      </c>
      <c r="BJ281" t="s">
        <v>4079</v>
      </c>
      <c r="BK281" t="s">
        <v>453</v>
      </c>
      <c r="BL281" t="s">
        <v>4079</v>
      </c>
      <c r="BM281" t="s">
        <v>4116</v>
      </c>
      <c r="BN281" t="s">
        <v>74</v>
      </c>
      <c r="BO281" t="s">
        <v>171</v>
      </c>
      <c r="BP281" t="s">
        <v>74</v>
      </c>
      <c r="BQ281" t="s">
        <v>74</v>
      </c>
      <c r="BR281" t="s">
        <v>91</v>
      </c>
      <c r="BS281" t="s">
        <v>4117</v>
      </c>
      <c r="BT281" t="str">
        <f>HYPERLINK("https%3A%2F%2Fwww.webofscience.com%2Fwos%2Fwoscc%2Ffull-record%2FWOS:000173845300012","View Full Record in Web of Science")</f>
        <v>View Full Record in Web of Science</v>
      </c>
    </row>
    <row r="282" spans="1:72" x14ac:dyDescent="0.15">
      <c r="A282" t="s">
        <v>72</v>
      </c>
      <c r="B282" t="s">
        <v>4118</v>
      </c>
      <c r="C282" t="s">
        <v>74</v>
      </c>
      <c r="D282" t="s">
        <v>74</v>
      </c>
      <c r="E282" t="s">
        <v>74</v>
      </c>
      <c r="F282" t="s">
        <v>4118</v>
      </c>
      <c r="G282" t="s">
        <v>74</v>
      </c>
      <c r="H282" t="s">
        <v>74</v>
      </c>
      <c r="I282" t="s">
        <v>4119</v>
      </c>
      <c r="J282" t="s">
        <v>194</v>
      </c>
      <c r="K282" t="s">
        <v>74</v>
      </c>
      <c r="L282" t="s">
        <v>74</v>
      </c>
      <c r="M282" t="s">
        <v>77</v>
      </c>
      <c r="N282" t="s">
        <v>120</v>
      </c>
      <c r="O282" t="s">
        <v>74</v>
      </c>
      <c r="P282" t="s">
        <v>74</v>
      </c>
      <c r="Q282" t="s">
        <v>74</v>
      </c>
      <c r="R282" t="s">
        <v>74</v>
      </c>
      <c r="S282" t="s">
        <v>74</v>
      </c>
      <c r="T282" t="s">
        <v>74</v>
      </c>
      <c r="U282" t="s">
        <v>4120</v>
      </c>
      <c r="V282" t="s">
        <v>4121</v>
      </c>
      <c r="W282" t="s">
        <v>4122</v>
      </c>
      <c r="X282" t="s">
        <v>4123</v>
      </c>
      <c r="Y282" t="s">
        <v>4124</v>
      </c>
      <c r="Z282" t="s">
        <v>4125</v>
      </c>
      <c r="AA282" t="s">
        <v>74</v>
      </c>
      <c r="AB282" t="s">
        <v>74</v>
      </c>
      <c r="AC282" t="s">
        <v>74</v>
      </c>
      <c r="AD282" t="s">
        <v>74</v>
      </c>
      <c r="AE282" t="s">
        <v>74</v>
      </c>
      <c r="AF282" t="s">
        <v>74</v>
      </c>
      <c r="AG282">
        <v>67</v>
      </c>
      <c r="AH282">
        <v>99</v>
      </c>
      <c r="AI282">
        <v>109</v>
      </c>
      <c r="AJ282">
        <v>2</v>
      </c>
      <c r="AK282">
        <v>28</v>
      </c>
      <c r="AL282" t="s">
        <v>248</v>
      </c>
      <c r="AM282" t="s">
        <v>204</v>
      </c>
      <c r="AN282" t="s">
        <v>249</v>
      </c>
      <c r="AO282" t="s">
        <v>206</v>
      </c>
      <c r="AP282" t="s">
        <v>250</v>
      </c>
      <c r="AQ282" t="s">
        <v>74</v>
      </c>
      <c r="AR282" t="s">
        <v>207</v>
      </c>
      <c r="AS282" t="s">
        <v>208</v>
      </c>
      <c r="AT282" t="s">
        <v>3219</v>
      </c>
      <c r="AU282">
        <v>2001</v>
      </c>
      <c r="AV282">
        <v>24</v>
      </c>
      <c r="AW282">
        <v>9</v>
      </c>
      <c r="AX282" t="s">
        <v>74</v>
      </c>
      <c r="AY282" t="s">
        <v>74</v>
      </c>
      <c r="AZ282" t="s">
        <v>74</v>
      </c>
      <c r="BA282" t="s">
        <v>74</v>
      </c>
      <c r="BB282">
        <v>633</v>
      </c>
      <c r="BC282">
        <v>641</v>
      </c>
      <c r="BD282" t="s">
        <v>74</v>
      </c>
      <c r="BE282" t="s">
        <v>4126</v>
      </c>
      <c r="BF282" t="str">
        <f>HYPERLINK("http://dx.doi.org/10.1007/s003000100244","http://dx.doi.org/10.1007/s003000100244")</f>
        <v>http://dx.doi.org/10.1007/s003000100244</v>
      </c>
      <c r="BG282" t="s">
        <v>74</v>
      </c>
      <c r="BH282" t="s">
        <v>74</v>
      </c>
      <c r="BI282">
        <v>9</v>
      </c>
      <c r="BJ282" t="s">
        <v>209</v>
      </c>
      <c r="BK282" t="s">
        <v>88</v>
      </c>
      <c r="BL282" t="s">
        <v>210</v>
      </c>
      <c r="BM282" t="s">
        <v>4127</v>
      </c>
      <c r="BN282" t="s">
        <v>74</v>
      </c>
      <c r="BO282" t="s">
        <v>74</v>
      </c>
      <c r="BP282" t="s">
        <v>74</v>
      </c>
      <c r="BQ282" t="s">
        <v>74</v>
      </c>
      <c r="BR282" t="s">
        <v>91</v>
      </c>
      <c r="BS282" t="s">
        <v>4128</v>
      </c>
      <c r="BT282" t="str">
        <f>HYPERLINK("https%3A%2F%2Fwww.webofscience.com%2Fwos%2Fwoscc%2Ffull-record%2FWOS:000171091800001","View Full Record in Web of Science")</f>
        <v>View Full Record in Web of Science</v>
      </c>
    </row>
    <row r="283" spans="1:72" x14ac:dyDescent="0.15">
      <c r="A283" t="s">
        <v>72</v>
      </c>
      <c r="B283" t="s">
        <v>4129</v>
      </c>
      <c r="C283" t="s">
        <v>74</v>
      </c>
      <c r="D283" t="s">
        <v>74</v>
      </c>
      <c r="E283" t="s">
        <v>74</v>
      </c>
      <c r="F283" t="s">
        <v>4129</v>
      </c>
      <c r="G283" t="s">
        <v>74</v>
      </c>
      <c r="H283" t="s">
        <v>74</v>
      </c>
      <c r="I283" t="s">
        <v>4130</v>
      </c>
      <c r="J283" t="s">
        <v>194</v>
      </c>
      <c r="K283" t="s">
        <v>74</v>
      </c>
      <c r="L283" t="s">
        <v>74</v>
      </c>
      <c r="M283" t="s">
        <v>77</v>
      </c>
      <c r="N283" t="s">
        <v>120</v>
      </c>
      <c r="O283" t="s">
        <v>74</v>
      </c>
      <c r="P283" t="s">
        <v>74</v>
      </c>
      <c r="Q283" t="s">
        <v>74</v>
      </c>
      <c r="R283" t="s">
        <v>74</v>
      </c>
      <c r="S283" t="s">
        <v>74</v>
      </c>
      <c r="T283" t="s">
        <v>74</v>
      </c>
      <c r="U283" t="s">
        <v>4131</v>
      </c>
      <c r="V283" t="s">
        <v>4132</v>
      </c>
      <c r="W283" t="s">
        <v>2323</v>
      </c>
      <c r="X283" t="s">
        <v>1679</v>
      </c>
      <c r="Y283" t="s">
        <v>4133</v>
      </c>
      <c r="Z283" t="s">
        <v>4134</v>
      </c>
      <c r="AA283" t="s">
        <v>4135</v>
      </c>
      <c r="AB283" t="s">
        <v>4136</v>
      </c>
      <c r="AC283" t="s">
        <v>74</v>
      </c>
      <c r="AD283" t="s">
        <v>74</v>
      </c>
      <c r="AE283" t="s">
        <v>74</v>
      </c>
      <c r="AF283" t="s">
        <v>74</v>
      </c>
      <c r="AG283">
        <v>59</v>
      </c>
      <c r="AH283">
        <v>18</v>
      </c>
      <c r="AI283">
        <v>22</v>
      </c>
      <c r="AJ283">
        <v>1</v>
      </c>
      <c r="AK283">
        <v>11</v>
      </c>
      <c r="AL283" t="s">
        <v>248</v>
      </c>
      <c r="AM283" t="s">
        <v>204</v>
      </c>
      <c r="AN283" t="s">
        <v>1622</v>
      </c>
      <c r="AO283" t="s">
        <v>206</v>
      </c>
      <c r="AP283" t="s">
        <v>250</v>
      </c>
      <c r="AQ283" t="s">
        <v>74</v>
      </c>
      <c r="AR283" t="s">
        <v>207</v>
      </c>
      <c r="AS283" t="s">
        <v>208</v>
      </c>
      <c r="AT283" t="s">
        <v>3219</v>
      </c>
      <c r="AU283">
        <v>2001</v>
      </c>
      <c r="AV283">
        <v>24</v>
      </c>
      <c r="AW283">
        <v>9</v>
      </c>
      <c r="AX283" t="s">
        <v>74</v>
      </c>
      <c r="AY283" t="s">
        <v>74</v>
      </c>
      <c r="AZ283" t="s">
        <v>74</v>
      </c>
      <c r="BA283" t="s">
        <v>74</v>
      </c>
      <c r="BB283">
        <v>642</v>
      </c>
      <c r="BC283">
        <v>649</v>
      </c>
      <c r="BD283" t="s">
        <v>74</v>
      </c>
      <c r="BE283" t="s">
        <v>4137</v>
      </c>
      <c r="BF283" t="str">
        <f>HYPERLINK("http://dx.doi.org/10.1007/s003000100258","http://dx.doi.org/10.1007/s003000100258")</f>
        <v>http://dx.doi.org/10.1007/s003000100258</v>
      </c>
      <c r="BG283" t="s">
        <v>74</v>
      </c>
      <c r="BH283" t="s">
        <v>74</v>
      </c>
      <c r="BI283">
        <v>8</v>
      </c>
      <c r="BJ283" t="s">
        <v>209</v>
      </c>
      <c r="BK283" t="s">
        <v>88</v>
      </c>
      <c r="BL283" t="s">
        <v>210</v>
      </c>
      <c r="BM283" t="s">
        <v>4127</v>
      </c>
      <c r="BN283" t="s">
        <v>74</v>
      </c>
      <c r="BO283" t="s">
        <v>1685</v>
      </c>
      <c r="BP283" t="s">
        <v>74</v>
      </c>
      <c r="BQ283" t="s">
        <v>74</v>
      </c>
      <c r="BR283" t="s">
        <v>91</v>
      </c>
      <c r="BS283" t="s">
        <v>4138</v>
      </c>
      <c r="BT283" t="str">
        <f>HYPERLINK("https%3A%2F%2Fwww.webofscience.com%2Fwos%2Fwoscc%2Ffull-record%2FWOS:000171091800002","View Full Record in Web of Science")</f>
        <v>View Full Record in Web of Science</v>
      </c>
    </row>
    <row r="284" spans="1:72" x14ac:dyDescent="0.15">
      <c r="A284" t="s">
        <v>72</v>
      </c>
      <c r="B284" t="s">
        <v>4139</v>
      </c>
      <c r="C284" t="s">
        <v>74</v>
      </c>
      <c r="D284" t="s">
        <v>74</v>
      </c>
      <c r="E284" t="s">
        <v>74</v>
      </c>
      <c r="F284" t="s">
        <v>4139</v>
      </c>
      <c r="G284" t="s">
        <v>74</v>
      </c>
      <c r="H284" t="s">
        <v>74</v>
      </c>
      <c r="I284" t="s">
        <v>4140</v>
      </c>
      <c r="J284" t="s">
        <v>194</v>
      </c>
      <c r="K284" t="s">
        <v>74</v>
      </c>
      <c r="L284" t="s">
        <v>74</v>
      </c>
      <c r="M284" t="s">
        <v>77</v>
      </c>
      <c r="N284" t="s">
        <v>120</v>
      </c>
      <c r="O284" t="s">
        <v>74</v>
      </c>
      <c r="P284" t="s">
        <v>74</v>
      </c>
      <c r="Q284" t="s">
        <v>74</v>
      </c>
      <c r="R284" t="s">
        <v>74</v>
      </c>
      <c r="S284" t="s">
        <v>74</v>
      </c>
      <c r="T284" t="s">
        <v>74</v>
      </c>
      <c r="U284" t="s">
        <v>4141</v>
      </c>
      <c r="V284" t="s">
        <v>4142</v>
      </c>
      <c r="W284" t="s">
        <v>4143</v>
      </c>
      <c r="X284" t="s">
        <v>74</v>
      </c>
      <c r="Y284" t="s">
        <v>4144</v>
      </c>
      <c r="Z284" t="s">
        <v>74</v>
      </c>
      <c r="AA284" t="s">
        <v>74</v>
      </c>
      <c r="AB284" t="s">
        <v>74</v>
      </c>
      <c r="AC284" t="s">
        <v>74</v>
      </c>
      <c r="AD284" t="s">
        <v>74</v>
      </c>
      <c r="AE284" t="s">
        <v>74</v>
      </c>
      <c r="AF284" t="s">
        <v>74</v>
      </c>
      <c r="AG284">
        <v>25</v>
      </c>
      <c r="AH284">
        <v>32</v>
      </c>
      <c r="AI284">
        <v>35</v>
      </c>
      <c r="AJ284">
        <v>2</v>
      </c>
      <c r="AK284">
        <v>6</v>
      </c>
      <c r="AL284" t="s">
        <v>203</v>
      </c>
      <c r="AM284" t="s">
        <v>204</v>
      </c>
      <c r="AN284" t="s">
        <v>205</v>
      </c>
      <c r="AO284" t="s">
        <v>206</v>
      </c>
      <c r="AP284" t="s">
        <v>74</v>
      </c>
      <c r="AQ284" t="s">
        <v>74</v>
      </c>
      <c r="AR284" t="s">
        <v>207</v>
      </c>
      <c r="AS284" t="s">
        <v>208</v>
      </c>
      <c r="AT284" t="s">
        <v>3219</v>
      </c>
      <c r="AU284">
        <v>2001</v>
      </c>
      <c r="AV284">
        <v>24</v>
      </c>
      <c r="AW284">
        <v>9</v>
      </c>
      <c r="AX284" t="s">
        <v>74</v>
      </c>
      <c r="AY284" t="s">
        <v>74</v>
      </c>
      <c r="AZ284" t="s">
        <v>74</v>
      </c>
      <c r="BA284" t="s">
        <v>74</v>
      </c>
      <c r="BB284">
        <v>657</v>
      </c>
      <c r="BC284">
        <v>662</v>
      </c>
      <c r="BD284" t="s">
        <v>74</v>
      </c>
      <c r="BE284" t="s">
        <v>74</v>
      </c>
      <c r="BF284" t="s">
        <v>74</v>
      </c>
      <c r="BG284" t="s">
        <v>74</v>
      </c>
      <c r="BH284" t="s">
        <v>74</v>
      </c>
      <c r="BI284">
        <v>6</v>
      </c>
      <c r="BJ284" t="s">
        <v>209</v>
      </c>
      <c r="BK284" t="s">
        <v>88</v>
      </c>
      <c r="BL284" t="s">
        <v>210</v>
      </c>
      <c r="BM284" t="s">
        <v>4127</v>
      </c>
      <c r="BN284" t="s">
        <v>74</v>
      </c>
      <c r="BO284" t="s">
        <v>74</v>
      </c>
      <c r="BP284" t="s">
        <v>74</v>
      </c>
      <c r="BQ284" t="s">
        <v>74</v>
      </c>
      <c r="BR284" t="s">
        <v>91</v>
      </c>
      <c r="BS284" t="s">
        <v>4145</v>
      </c>
      <c r="BT284" t="str">
        <f>HYPERLINK("https%3A%2F%2Fwww.webofscience.com%2Fwos%2Fwoscc%2Ffull-record%2FWOS:000171091800004","View Full Record in Web of Science")</f>
        <v>View Full Record in Web of Science</v>
      </c>
    </row>
    <row r="285" spans="1:72" x14ac:dyDescent="0.15">
      <c r="A285" t="s">
        <v>72</v>
      </c>
      <c r="B285" t="s">
        <v>4146</v>
      </c>
      <c r="C285" t="s">
        <v>74</v>
      </c>
      <c r="D285" t="s">
        <v>74</v>
      </c>
      <c r="E285" t="s">
        <v>74</v>
      </c>
      <c r="F285" t="s">
        <v>4146</v>
      </c>
      <c r="G285" t="s">
        <v>74</v>
      </c>
      <c r="H285" t="s">
        <v>74</v>
      </c>
      <c r="I285" t="s">
        <v>4147</v>
      </c>
      <c r="J285" t="s">
        <v>194</v>
      </c>
      <c r="K285" t="s">
        <v>74</v>
      </c>
      <c r="L285" t="s">
        <v>74</v>
      </c>
      <c r="M285" t="s">
        <v>77</v>
      </c>
      <c r="N285" t="s">
        <v>120</v>
      </c>
      <c r="O285" t="s">
        <v>74</v>
      </c>
      <c r="P285" t="s">
        <v>74</v>
      </c>
      <c r="Q285" t="s">
        <v>74</v>
      </c>
      <c r="R285" t="s">
        <v>74</v>
      </c>
      <c r="S285" t="s">
        <v>74</v>
      </c>
      <c r="T285" t="s">
        <v>74</v>
      </c>
      <c r="U285" t="s">
        <v>4148</v>
      </c>
      <c r="V285" t="s">
        <v>4149</v>
      </c>
      <c r="W285" t="s">
        <v>4150</v>
      </c>
      <c r="X285" t="s">
        <v>4151</v>
      </c>
      <c r="Y285" t="s">
        <v>4152</v>
      </c>
      <c r="Z285" t="s">
        <v>4153</v>
      </c>
      <c r="AA285" t="s">
        <v>74</v>
      </c>
      <c r="AB285" t="s">
        <v>4154</v>
      </c>
      <c r="AC285" t="s">
        <v>74</v>
      </c>
      <c r="AD285" t="s">
        <v>74</v>
      </c>
      <c r="AE285" t="s">
        <v>74</v>
      </c>
      <c r="AF285" t="s">
        <v>74</v>
      </c>
      <c r="AG285">
        <v>47</v>
      </c>
      <c r="AH285">
        <v>25</v>
      </c>
      <c r="AI285">
        <v>31</v>
      </c>
      <c r="AJ285">
        <v>0</v>
      </c>
      <c r="AK285">
        <v>6</v>
      </c>
      <c r="AL285" t="s">
        <v>248</v>
      </c>
      <c r="AM285" t="s">
        <v>204</v>
      </c>
      <c r="AN285" t="s">
        <v>1622</v>
      </c>
      <c r="AO285" t="s">
        <v>206</v>
      </c>
      <c r="AP285" t="s">
        <v>250</v>
      </c>
      <c r="AQ285" t="s">
        <v>74</v>
      </c>
      <c r="AR285" t="s">
        <v>207</v>
      </c>
      <c r="AS285" t="s">
        <v>208</v>
      </c>
      <c r="AT285" t="s">
        <v>3219</v>
      </c>
      <c r="AU285">
        <v>2001</v>
      </c>
      <c r="AV285">
        <v>24</v>
      </c>
      <c r="AW285">
        <v>9</v>
      </c>
      <c r="AX285" t="s">
        <v>74</v>
      </c>
      <c r="AY285" t="s">
        <v>74</v>
      </c>
      <c r="AZ285" t="s">
        <v>74</v>
      </c>
      <c r="BA285" t="s">
        <v>74</v>
      </c>
      <c r="BB285">
        <v>663</v>
      </c>
      <c r="BC285">
        <v>669</v>
      </c>
      <c r="BD285" t="s">
        <v>74</v>
      </c>
      <c r="BE285" t="s">
        <v>4155</v>
      </c>
      <c r="BF285" t="str">
        <f>HYPERLINK("http://dx.doi.org/10.1007/s003000100266","http://dx.doi.org/10.1007/s003000100266")</f>
        <v>http://dx.doi.org/10.1007/s003000100266</v>
      </c>
      <c r="BG285" t="s">
        <v>74</v>
      </c>
      <c r="BH285" t="s">
        <v>74</v>
      </c>
      <c r="BI285">
        <v>7</v>
      </c>
      <c r="BJ285" t="s">
        <v>209</v>
      </c>
      <c r="BK285" t="s">
        <v>88</v>
      </c>
      <c r="BL285" t="s">
        <v>210</v>
      </c>
      <c r="BM285" t="s">
        <v>4127</v>
      </c>
      <c r="BN285" t="s">
        <v>74</v>
      </c>
      <c r="BO285" t="s">
        <v>74</v>
      </c>
      <c r="BP285" t="s">
        <v>74</v>
      </c>
      <c r="BQ285" t="s">
        <v>74</v>
      </c>
      <c r="BR285" t="s">
        <v>91</v>
      </c>
      <c r="BS285" t="s">
        <v>4156</v>
      </c>
      <c r="BT285" t="str">
        <f>HYPERLINK("https%3A%2F%2Fwww.webofscience.com%2Fwos%2Fwoscc%2Ffull-record%2FWOS:000171091800005","View Full Record in Web of Science")</f>
        <v>View Full Record in Web of Science</v>
      </c>
    </row>
    <row r="286" spans="1:72" x14ac:dyDescent="0.15">
      <c r="A286" t="s">
        <v>72</v>
      </c>
      <c r="B286" t="s">
        <v>4157</v>
      </c>
      <c r="C286" t="s">
        <v>74</v>
      </c>
      <c r="D286" t="s">
        <v>74</v>
      </c>
      <c r="E286" t="s">
        <v>74</v>
      </c>
      <c r="F286" t="s">
        <v>4157</v>
      </c>
      <c r="G286" t="s">
        <v>74</v>
      </c>
      <c r="H286" t="s">
        <v>74</v>
      </c>
      <c r="I286" t="s">
        <v>4158</v>
      </c>
      <c r="J286" t="s">
        <v>194</v>
      </c>
      <c r="K286" t="s">
        <v>74</v>
      </c>
      <c r="L286" t="s">
        <v>74</v>
      </c>
      <c r="M286" t="s">
        <v>77</v>
      </c>
      <c r="N286" t="s">
        <v>120</v>
      </c>
      <c r="O286" t="s">
        <v>74</v>
      </c>
      <c r="P286" t="s">
        <v>74</v>
      </c>
      <c r="Q286" t="s">
        <v>74</v>
      </c>
      <c r="R286" t="s">
        <v>74</v>
      </c>
      <c r="S286" t="s">
        <v>74</v>
      </c>
      <c r="T286" t="s">
        <v>74</v>
      </c>
      <c r="U286" t="s">
        <v>4159</v>
      </c>
      <c r="V286" t="s">
        <v>4160</v>
      </c>
      <c r="W286" t="s">
        <v>4161</v>
      </c>
      <c r="X286" t="s">
        <v>4162</v>
      </c>
      <c r="Y286" t="s">
        <v>4163</v>
      </c>
      <c r="Z286" t="s">
        <v>74</v>
      </c>
      <c r="AA286" t="s">
        <v>4164</v>
      </c>
      <c r="AB286" t="s">
        <v>4165</v>
      </c>
      <c r="AC286" t="s">
        <v>74</v>
      </c>
      <c r="AD286" t="s">
        <v>74</v>
      </c>
      <c r="AE286" t="s">
        <v>74</v>
      </c>
      <c r="AF286" t="s">
        <v>74</v>
      </c>
      <c r="AG286">
        <v>17</v>
      </c>
      <c r="AH286">
        <v>19</v>
      </c>
      <c r="AI286">
        <v>19</v>
      </c>
      <c r="AJ286">
        <v>0</v>
      </c>
      <c r="AK286">
        <v>7</v>
      </c>
      <c r="AL286" t="s">
        <v>203</v>
      </c>
      <c r="AM286" t="s">
        <v>204</v>
      </c>
      <c r="AN286" t="s">
        <v>205</v>
      </c>
      <c r="AO286" t="s">
        <v>206</v>
      </c>
      <c r="AP286" t="s">
        <v>74</v>
      </c>
      <c r="AQ286" t="s">
        <v>74</v>
      </c>
      <c r="AR286" t="s">
        <v>207</v>
      </c>
      <c r="AS286" t="s">
        <v>208</v>
      </c>
      <c r="AT286" t="s">
        <v>3219</v>
      </c>
      <c r="AU286">
        <v>2001</v>
      </c>
      <c r="AV286">
        <v>24</v>
      </c>
      <c r="AW286">
        <v>9</v>
      </c>
      <c r="AX286" t="s">
        <v>74</v>
      </c>
      <c r="AY286" t="s">
        <v>74</v>
      </c>
      <c r="AZ286" t="s">
        <v>74</v>
      </c>
      <c r="BA286" t="s">
        <v>74</v>
      </c>
      <c r="BB286">
        <v>670</v>
      </c>
      <c r="BC286">
        <v>676</v>
      </c>
      <c r="BD286" t="s">
        <v>74</v>
      </c>
      <c r="BE286" t="s">
        <v>4166</v>
      </c>
      <c r="BF286" t="str">
        <f>HYPERLINK("http://dx.doi.org/10.1007/s003000100267","http://dx.doi.org/10.1007/s003000100267")</f>
        <v>http://dx.doi.org/10.1007/s003000100267</v>
      </c>
      <c r="BG286" t="s">
        <v>74</v>
      </c>
      <c r="BH286" t="s">
        <v>74</v>
      </c>
      <c r="BI286">
        <v>7</v>
      </c>
      <c r="BJ286" t="s">
        <v>209</v>
      </c>
      <c r="BK286" t="s">
        <v>88</v>
      </c>
      <c r="BL286" t="s">
        <v>210</v>
      </c>
      <c r="BM286" t="s">
        <v>4127</v>
      </c>
      <c r="BN286" t="s">
        <v>74</v>
      </c>
      <c r="BO286" t="s">
        <v>74</v>
      </c>
      <c r="BP286" t="s">
        <v>74</v>
      </c>
      <c r="BQ286" t="s">
        <v>74</v>
      </c>
      <c r="BR286" t="s">
        <v>91</v>
      </c>
      <c r="BS286" t="s">
        <v>4167</v>
      </c>
      <c r="BT286" t="str">
        <f>HYPERLINK("https%3A%2F%2Fwww.webofscience.com%2Fwos%2Fwoscc%2Ffull-record%2FWOS:000171091800006","View Full Record in Web of Science")</f>
        <v>View Full Record in Web of Science</v>
      </c>
    </row>
    <row r="287" spans="1:72" x14ac:dyDescent="0.15">
      <c r="A287" t="s">
        <v>72</v>
      </c>
      <c r="B287" t="s">
        <v>4168</v>
      </c>
      <c r="C287" t="s">
        <v>74</v>
      </c>
      <c r="D287" t="s">
        <v>74</v>
      </c>
      <c r="E287" t="s">
        <v>74</v>
      </c>
      <c r="F287" t="s">
        <v>4168</v>
      </c>
      <c r="G287" t="s">
        <v>74</v>
      </c>
      <c r="H287" t="s">
        <v>74</v>
      </c>
      <c r="I287" t="s">
        <v>4169</v>
      </c>
      <c r="J287" t="s">
        <v>194</v>
      </c>
      <c r="K287" t="s">
        <v>74</v>
      </c>
      <c r="L287" t="s">
        <v>74</v>
      </c>
      <c r="M287" t="s">
        <v>77</v>
      </c>
      <c r="N287" t="s">
        <v>120</v>
      </c>
      <c r="O287" t="s">
        <v>74</v>
      </c>
      <c r="P287" t="s">
        <v>74</v>
      </c>
      <c r="Q287" t="s">
        <v>74</v>
      </c>
      <c r="R287" t="s">
        <v>74</v>
      </c>
      <c r="S287" t="s">
        <v>74</v>
      </c>
      <c r="T287" t="s">
        <v>74</v>
      </c>
      <c r="U287" t="s">
        <v>4170</v>
      </c>
      <c r="V287" t="s">
        <v>4171</v>
      </c>
      <c r="W287" t="s">
        <v>4172</v>
      </c>
      <c r="X287" t="s">
        <v>4173</v>
      </c>
      <c r="Y287" t="s">
        <v>2719</v>
      </c>
      <c r="Z287" t="s">
        <v>4174</v>
      </c>
      <c r="AA287" t="s">
        <v>74</v>
      </c>
      <c r="AB287" t="s">
        <v>74</v>
      </c>
      <c r="AC287" t="s">
        <v>74</v>
      </c>
      <c r="AD287" t="s">
        <v>74</v>
      </c>
      <c r="AE287" t="s">
        <v>74</v>
      </c>
      <c r="AF287" t="s">
        <v>74</v>
      </c>
      <c r="AG287">
        <v>60</v>
      </c>
      <c r="AH287">
        <v>46</v>
      </c>
      <c r="AI287">
        <v>50</v>
      </c>
      <c r="AJ287">
        <v>1</v>
      </c>
      <c r="AK287">
        <v>29</v>
      </c>
      <c r="AL287" t="s">
        <v>248</v>
      </c>
      <c r="AM287" t="s">
        <v>204</v>
      </c>
      <c r="AN287" t="s">
        <v>249</v>
      </c>
      <c r="AO287" t="s">
        <v>206</v>
      </c>
      <c r="AP287" t="s">
        <v>250</v>
      </c>
      <c r="AQ287" t="s">
        <v>74</v>
      </c>
      <c r="AR287" t="s">
        <v>207</v>
      </c>
      <c r="AS287" t="s">
        <v>208</v>
      </c>
      <c r="AT287" t="s">
        <v>3219</v>
      </c>
      <c r="AU287">
        <v>2001</v>
      </c>
      <c r="AV287">
        <v>24</v>
      </c>
      <c r="AW287">
        <v>9</v>
      </c>
      <c r="AX287" t="s">
        <v>74</v>
      </c>
      <c r="AY287" t="s">
        <v>74</v>
      </c>
      <c r="AZ287" t="s">
        <v>74</v>
      </c>
      <c r="BA287" t="s">
        <v>74</v>
      </c>
      <c r="BB287">
        <v>677</v>
      </c>
      <c r="BC287">
        <v>686</v>
      </c>
      <c r="BD287" t="s">
        <v>74</v>
      </c>
      <c r="BE287" t="s">
        <v>74</v>
      </c>
      <c r="BF287" t="s">
        <v>74</v>
      </c>
      <c r="BG287" t="s">
        <v>74</v>
      </c>
      <c r="BH287" t="s">
        <v>74</v>
      </c>
      <c r="BI287">
        <v>10</v>
      </c>
      <c r="BJ287" t="s">
        <v>209</v>
      </c>
      <c r="BK287" t="s">
        <v>88</v>
      </c>
      <c r="BL287" t="s">
        <v>210</v>
      </c>
      <c r="BM287" t="s">
        <v>4127</v>
      </c>
      <c r="BN287" t="s">
        <v>74</v>
      </c>
      <c r="BO287" t="s">
        <v>74</v>
      </c>
      <c r="BP287" t="s">
        <v>74</v>
      </c>
      <c r="BQ287" t="s">
        <v>74</v>
      </c>
      <c r="BR287" t="s">
        <v>91</v>
      </c>
      <c r="BS287" t="s">
        <v>4175</v>
      </c>
      <c r="BT287" t="str">
        <f>HYPERLINK("https%3A%2F%2Fwww.webofscience.com%2Fwos%2Fwoscc%2Ffull-record%2FWOS:000171091800007","View Full Record in Web of Science")</f>
        <v>View Full Record in Web of Science</v>
      </c>
    </row>
    <row r="288" spans="1:72" x14ac:dyDescent="0.15">
      <c r="A288" t="s">
        <v>72</v>
      </c>
      <c r="B288" t="s">
        <v>4176</v>
      </c>
      <c r="C288" t="s">
        <v>74</v>
      </c>
      <c r="D288" t="s">
        <v>74</v>
      </c>
      <c r="E288" t="s">
        <v>74</v>
      </c>
      <c r="F288" t="s">
        <v>4176</v>
      </c>
      <c r="G288" t="s">
        <v>74</v>
      </c>
      <c r="H288" t="s">
        <v>74</v>
      </c>
      <c r="I288" t="s">
        <v>4177</v>
      </c>
      <c r="J288" t="s">
        <v>194</v>
      </c>
      <c r="K288" t="s">
        <v>74</v>
      </c>
      <c r="L288" t="s">
        <v>74</v>
      </c>
      <c r="M288" t="s">
        <v>77</v>
      </c>
      <c r="N288" t="s">
        <v>120</v>
      </c>
      <c r="O288" t="s">
        <v>74</v>
      </c>
      <c r="P288" t="s">
        <v>74</v>
      </c>
      <c r="Q288" t="s">
        <v>74</v>
      </c>
      <c r="R288" t="s">
        <v>74</v>
      </c>
      <c r="S288" t="s">
        <v>74</v>
      </c>
      <c r="T288" t="s">
        <v>74</v>
      </c>
      <c r="U288" t="s">
        <v>4178</v>
      </c>
      <c r="V288" t="s">
        <v>4179</v>
      </c>
      <c r="W288" t="s">
        <v>2323</v>
      </c>
      <c r="X288" t="s">
        <v>1679</v>
      </c>
      <c r="Y288" t="s">
        <v>4180</v>
      </c>
      <c r="Z288" t="s">
        <v>4181</v>
      </c>
      <c r="AA288" t="s">
        <v>4182</v>
      </c>
      <c r="AB288" t="s">
        <v>4183</v>
      </c>
      <c r="AC288" t="s">
        <v>74</v>
      </c>
      <c r="AD288" t="s">
        <v>74</v>
      </c>
      <c r="AE288" t="s">
        <v>74</v>
      </c>
      <c r="AF288" t="s">
        <v>74</v>
      </c>
      <c r="AG288">
        <v>37</v>
      </c>
      <c r="AH288">
        <v>26</v>
      </c>
      <c r="AI288">
        <v>33</v>
      </c>
      <c r="AJ288">
        <v>0</v>
      </c>
      <c r="AK288">
        <v>13</v>
      </c>
      <c r="AL288" t="s">
        <v>248</v>
      </c>
      <c r="AM288" t="s">
        <v>204</v>
      </c>
      <c r="AN288" t="s">
        <v>249</v>
      </c>
      <c r="AO288" t="s">
        <v>206</v>
      </c>
      <c r="AP288" t="s">
        <v>250</v>
      </c>
      <c r="AQ288" t="s">
        <v>74</v>
      </c>
      <c r="AR288" t="s">
        <v>207</v>
      </c>
      <c r="AS288" t="s">
        <v>208</v>
      </c>
      <c r="AT288" t="s">
        <v>3219</v>
      </c>
      <c r="AU288">
        <v>2001</v>
      </c>
      <c r="AV288">
        <v>24</v>
      </c>
      <c r="AW288">
        <v>9</v>
      </c>
      <c r="AX288" t="s">
        <v>74</v>
      </c>
      <c r="AY288" t="s">
        <v>74</v>
      </c>
      <c r="AZ288" t="s">
        <v>74</v>
      </c>
      <c r="BA288" t="s">
        <v>74</v>
      </c>
      <c r="BB288">
        <v>687</v>
      </c>
      <c r="BC288">
        <v>696</v>
      </c>
      <c r="BD288" t="s">
        <v>74</v>
      </c>
      <c r="BE288" t="s">
        <v>4184</v>
      </c>
      <c r="BF288" t="str">
        <f>HYPERLINK("http://dx.doi.org/10.1007/s003000100269","http://dx.doi.org/10.1007/s003000100269")</f>
        <v>http://dx.doi.org/10.1007/s003000100269</v>
      </c>
      <c r="BG288" t="s">
        <v>74</v>
      </c>
      <c r="BH288" t="s">
        <v>74</v>
      </c>
      <c r="BI288">
        <v>10</v>
      </c>
      <c r="BJ288" t="s">
        <v>209</v>
      </c>
      <c r="BK288" t="s">
        <v>88</v>
      </c>
      <c r="BL288" t="s">
        <v>210</v>
      </c>
      <c r="BM288" t="s">
        <v>4127</v>
      </c>
      <c r="BN288" t="s">
        <v>74</v>
      </c>
      <c r="BO288" t="s">
        <v>74</v>
      </c>
      <c r="BP288" t="s">
        <v>74</v>
      </c>
      <c r="BQ288" t="s">
        <v>74</v>
      </c>
      <c r="BR288" t="s">
        <v>91</v>
      </c>
      <c r="BS288" t="s">
        <v>4185</v>
      </c>
      <c r="BT288" t="str">
        <f>HYPERLINK("https%3A%2F%2Fwww.webofscience.com%2Fwos%2Fwoscc%2Ffull-record%2FWOS:000171091800008","View Full Record in Web of Science")</f>
        <v>View Full Record in Web of Science</v>
      </c>
    </row>
    <row r="289" spans="1:72" x14ac:dyDescent="0.15">
      <c r="A289" t="s">
        <v>72</v>
      </c>
      <c r="B289" t="s">
        <v>4186</v>
      </c>
      <c r="C289" t="s">
        <v>74</v>
      </c>
      <c r="D289" t="s">
        <v>74</v>
      </c>
      <c r="E289" t="s">
        <v>74</v>
      </c>
      <c r="F289" t="s">
        <v>4186</v>
      </c>
      <c r="G289" t="s">
        <v>74</v>
      </c>
      <c r="H289" t="s">
        <v>74</v>
      </c>
      <c r="I289" t="s">
        <v>4187</v>
      </c>
      <c r="J289" t="s">
        <v>194</v>
      </c>
      <c r="K289" t="s">
        <v>74</v>
      </c>
      <c r="L289" t="s">
        <v>74</v>
      </c>
      <c r="M289" t="s">
        <v>77</v>
      </c>
      <c r="N289" t="s">
        <v>120</v>
      </c>
      <c r="O289" t="s">
        <v>74</v>
      </c>
      <c r="P289" t="s">
        <v>74</v>
      </c>
      <c r="Q289" t="s">
        <v>74</v>
      </c>
      <c r="R289" t="s">
        <v>74</v>
      </c>
      <c r="S289" t="s">
        <v>74</v>
      </c>
      <c r="T289" t="s">
        <v>74</v>
      </c>
      <c r="U289" t="s">
        <v>4188</v>
      </c>
      <c r="V289" t="s">
        <v>4189</v>
      </c>
      <c r="W289" t="s">
        <v>4190</v>
      </c>
      <c r="X289" t="s">
        <v>4191</v>
      </c>
      <c r="Y289" t="s">
        <v>4192</v>
      </c>
      <c r="Z289" t="s">
        <v>4193</v>
      </c>
      <c r="AA289" t="s">
        <v>74</v>
      </c>
      <c r="AB289" t="s">
        <v>74</v>
      </c>
      <c r="AC289" t="s">
        <v>74</v>
      </c>
      <c r="AD289" t="s">
        <v>74</v>
      </c>
      <c r="AE289" t="s">
        <v>74</v>
      </c>
      <c r="AF289" t="s">
        <v>74</v>
      </c>
      <c r="AG289">
        <v>50</v>
      </c>
      <c r="AH289">
        <v>20</v>
      </c>
      <c r="AI289">
        <v>23</v>
      </c>
      <c r="AJ289">
        <v>0</v>
      </c>
      <c r="AK289">
        <v>2</v>
      </c>
      <c r="AL289" t="s">
        <v>248</v>
      </c>
      <c r="AM289" t="s">
        <v>204</v>
      </c>
      <c r="AN289" t="s">
        <v>1622</v>
      </c>
      <c r="AO289" t="s">
        <v>206</v>
      </c>
      <c r="AP289" t="s">
        <v>74</v>
      </c>
      <c r="AQ289" t="s">
        <v>74</v>
      </c>
      <c r="AR289" t="s">
        <v>207</v>
      </c>
      <c r="AS289" t="s">
        <v>208</v>
      </c>
      <c r="AT289" t="s">
        <v>3219</v>
      </c>
      <c r="AU289">
        <v>2001</v>
      </c>
      <c r="AV289">
        <v>24</v>
      </c>
      <c r="AW289">
        <v>9</v>
      </c>
      <c r="AX289" t="s">
        <v>74</v>
      </c>
      <c r="AY289" t="s">
        <v>74</v>
      </c>
      <c r="AZ289" t="s">
        <v>74</v>
      </c>
      <c r="BA289" t="s">
        <v>74</v>
      </c>
      <c r="BB289">
        <v>697</v>
      </c>
      <c r="BC289">
        <v>705</v>
      </c>
      <c r="BD289" t="s">
        <v>74</v>
      </c>
      <c r="BE289" t="s">
        <v>4194</v>
      </c>
      <c r="BF289" t="str">
        <f>HYPERLINK("http://dx.doi.org/10.1007/s003000100271","http://dx.doi.org/10.1007/s003000100271")</f>
        <v>http://dx.doi.org/10.1007/s003000100271</v>
      </c>
      <c r="BG289" t="s">
        <v>74</v>
      </c>
      <c r="BH289" t="s">
        <v>74</v>
      </c>
      <c r="BI289">
        <v>9</v>
      </c>
      <c r="BJ289" t="s">
        <v>209</v>
      </c>
      <c r="BK289" t="s">
        <v>88</v>
      </c>
      <c r="BL289" t="s">
        <v>210</v>
      </c>
      <c r="BM289" t="s">
        <v>4127</v>
      </c>
      <c r="BN289" t="s">
        <v>74</v>
      </c>
      <c r="BO289" t="s">
        <v>74</v>
      </c>
      <c r="BP289" t="s">
        <v>74</v>
      </c>
      <c r="BQ289" t="s">
        <v>74</v>
      </c>
      <c r="BR289" t="s">
        <v>91</v>
      </c>
      <c r="BS289" t="s">
        <v>4195</v>
      </c>
      <c r="BT289" t="str">
        <f>HYPERLINK("https%3A%2F%2Fwww.webofscience.com%2Fwos%2Fwoscc%2Ffull-record%2FWOS:000171091800009","View Full Record in Web of Science")</f>
        <v>View Full Record in Web of Science</v>
      </c>
    </row>
    <row r="290" spans="1:72" x14ac:dyDescent="0.15">
      <c r="A290" t="s">
        <v>72</v>
      </c>
      <c r="B290" t="s">
        <v>3206</v>
      </c>
      <c r="C290" t="s">
        <v>74</v>
      </c>
      <c r="D290" t="s">
        <v>74</v>
      </c>
      <c r="E290" t="s">
        <v>74</v>
      </c>
      <c r="F290" t="s">
        <v>3206</v>
      </c>
      <c r="G290" t="s">
        <v>74</v>
      </c>
      <c r="H290" t="s">
        <v>74</v>
      </c>
      <c r="I290" t="s">
        <v>4196</v>
      </c>
      <c r="J290" t="s">
        <v>194</v>
      </c>
      <c r="K290" t="s">
        <v>74</v>
      </c>
      <c r="L290" t="s">
        <v>74</v>
      </c>
      <c r="M290" t="s">
        <v>77</v>
      </c>
      <c r="N290" t="s">
        <v>120</v>
      </c>
      <c r="O290" t="s">
        <v>74</v>
      </c>
      <c r="P290" t="s">
        <v>74</v>
      </c>
      <c r="Q290" t="s">
        <v>74</v>
      </c>
      <c r="R290" t="s">
        <v>74</v>
      </c>
      <c r="S290" t="s">
        <v>74</v>
      </c>
      <c r="T290" t="s">
        <v>74</v>
      </c>
      <c r="U290" t="s">
        <v>4197</v>
      </c>
      <c r="V290" t="s">
        <v>4198</v>
      </c>
      <c r="W290" t="s">
        <v>4199</v>
      </c>
      <c r="X290" t="s">
        <v>4200</v>
      </c>
      <c r="Y290" t="s">
        <v>4201</v>
      </c>
      <c r="Z290" t="s">
        <v>74</v>
      </c>
      <c r="AA290" t="s">
        <v>4202</v>
      </c>
      <c r="AB290" t="s">
        <v>74</v>
      </c>
      <c r="AC290" t="s">
        <v>74</v>
      </c>
      <c r="AD290" t="s">
        <v>74</v>
      </c>
      <c r="AE290" t="s">
        <v>74</v>
      </c>
      <c r="AF290" t="s">
        <v>74</v>
      </c>
      <c r="AG290">
        <v>46</v>
      </c>
      <c r="AH290">
        <v>13</v>
      </c>
      <c r="AI290">
        <v>15</v>
      </c>
      <c r="AJ290">
        <v>0</v>
      </c>
      <c r="AK290">
        <v>10</v>
      </c>
      <c r="AL290" t="s">
        <v>203</v>
      </c>
      <c r="AM290" t="s">
        <v>204</v>
      </c>
      <c r="AN290" t="s">
        <v>205</v>
      </c>
      <c r="AO290" t="s">
        <v>206</v>
      </c>
      <c r="AP290" t="s">
        <v>74</v>
      </c>
      <c r="AQ290" t="s">
        <v>74</v>
      </c>
      <c r="AR290" t="s">
        <v>207</v>
      </c>
      <c r="AS290" t="s">
        <v>208</v>
      </c>
      <c r="AT290" t="s">
        <v>3219</v>
      </c>
      <c r="AU290">
        <v>2001</v>
      </c>
      <c r="AV290">
        <v>24</v>
      </c>
      <c r="AW290">
        <v>9</v>
      </c>
      <c r="AX290" t="s">
        <v>74</v>
      </c>
      <c r="AY290" t="s">
        <v>74</v>
      </c>
      <c r="AZ290" t="s">
        <v>74</v>
      </c>
      <c r="BA290" t="s">
        <v>74</v>
      </c>
      <c r="BB290">
        <v>706</v>
      </c>
      <c r="BC290">
        <v>712</v>
      </c>
      <c r="BD290" t="s">
        <v>74</v>
      </c>
      <c r="BE290" t="s">
        <v>74</v>
      </c>
      <c r="BF290" t="s">
        <v>74</v>
      </c>
      <c r="BG290" t="s">
        <v>74</v>
      </c>
      <c r="BH290" t="s">
        <v>74</v>
      </c>
      <c r="BI290">
        <v>7</v>
      </c>
      <c r="BJ290" t="s">
        <v>209</v>
      </c>
      <c r="BK290" t="s">
        <v>88</v>
      </c>
      <c r="BL290" t="s">
        <v>210</v>
      </c>
      <c r="BM290" t="s">
        <v>4127</v>
      </c>
      <c r="BN290" t="s">
        <v>74</v>
      </c>
      <c r="BO290" t="s">
        <v>74</v>
      </c>
      <c r="BP290" t="s">
        <v>74</v>
      </c>
      <c r="BQ290" t="s">
        <v>74</v>
      </c>
      <c r="BR290" t="s">
        <v>91</v>
      </c>
      <c r="BS290" t="s">
        <v>4203</v>
      </c>
      <c r="BT290" t="str">
        <f>HYPERLINK("https%3A%2F%2Fwww.webofscience.com%2Fwos%2Fwoscc%2Ffull-record%2FWOS:000171091800010","View Full Record in Web of Science")</f>
        <v>View Full Record in Web of Science</v>
      </c>
    </row>
    <row r="291" spans="1:72" x14ac:dyDescent="0.15">
      <c r="A291" t="s">
        <v>72</v>
      </c>
      <c r="B291" t="s">
        <v>4204</v>
      </c>
      <c r="C291" t="s">
        <v>74</v>
      </c>
      <c r="D291" t="s">
        <v>74</v>
      </c>
      <c r="E291" t="s">
        <v>74</v>
      </c>
      <c r="F291" t="s">
        <v>4204</v>
      </c>
      <c r="G291" t="s">
        <v>74</v>
      </c>
      <c r="H291" t="s">
        <v>74</v>
      </c>
      <c r="I291" t="s">
        <v>4205</v>
      </c>
      <c r="J291" t="s">
        <v>4206</v>
      </c>
      <c r="K291" t="s">
        <v>74</v>
      </c>
      <c r="L291" t="s">
        <v>74</v>
      </c>
      <c r="M291" t="s">
        <v>77</v>
      </c>
      <c r="N291" t="s">
        <v>120</v>
      </c>
      <c r="O291" t="s">
        <v>74</v>
      </c>
      <c r="P291" t="s">
        <v>74</v>
      </c>
      <c r="Q291" t="s">
        <v>74</v>
      </c>
      <c r="R291" t="s">
        <v>74</v>
      </c>
      <c r="S291" t="s">
        <v>74</v>
      </c>
      <c r="T291" t="s">
        <v>74</v>
      </c>
      <c r="U291" t="s">
        <v>4207</v>
      </c>
      <c r="V291" t="s">
        <v>74</v>
      </c>
      <c r="W291" t="s">
        <v>4208</v>
      </c>
      <c r="X291" t="s">
        <v>4209</v>
      </c>
      <c r="Y291" t="s">
        <v>4210</v>
      </c>
      <c r="Z291" t="s">
        <v>74</v>
      </c>
      <c r="AA291" t="s">
        <v>74</v>
      </c>
      <c r="AB291" t="s">
        <v>4211</v>
      </c>
      <c r="AC291" t="s">
        <v>74</v>
      </c>
      <c r="AD291" t="s">
        <v>74</v>
      </c>
      <c r="AE291" t="s">
        <v>74</v>
      </c>
      <c r="AF291" t="s">
        <v>74</v>
      </c>
      <c r="AG291">
        <v>49</v>
      </c>
      <c r="AH291">
        <v>32</v>
      </c>
      <c r="AI291">
        <v>33</v>
      </c>
      <c r="AJ291">
        <v>0</v>
      </c>
      <c r="AK291">
        <v>9</v>
      </c>
      <c r="AL291" t="s">
        <v>4212</v>
      </c>
      <c r="AM291" t="s">
        <v>683</v>
      </c>
      <c r="AN291" t="s">
        <v>4213</v>
      </c>
      <c r="AO291" t="s">
        <v>4214</v>
      </c>
      <c r="AP291" t="s">
        <v>4215</v>
      </c>
      <c r="AQ291" t="s">
        <v>74</v>
      </c>
      <c r="AR291" t="s">
        <v>4216</v>
      </c>
      <c r="AS291" t="s">
        <v>4217</v>
      </c>
      <c r="AT291" t="s">
        <v>3219</v>
      </c>
      <c r="AU291">
        <v>2001</v>
      </c>
      <c r="AV291">
        <v>25</v>
      </c>
      <c r="AW291">
        <v>3</v>
      </c>
      <c r="AX291" t="s">
        <v>74</v>
      </c>
      <c r="AY291" t="s">
        <v>74</v>
      </c>
      <c r="AZ291" t="s">
        <v>74</v>
      </c>
      <c r="BA291" t="s">
        <v>74</v>
      </c>
      <c r="BB291">
        <v>399</v>
      </c>
      <c r="BC291">
        <v>408</v>
      </c>
      <c r="BD291" t="s">
        <v>74</v>
      </c>
      <c r="BE291" t="s">
        <v>4218</v>
      </c>
      <c r="BF291" t="str">
        <f>HYPERLINK("http://dx.doi.org/10.1177/030913330102500307","http://dx.doi.org/10.1177/030913330102500307")</f>
        <v>http://dx.doi.org/10.1177/030913330102500307</v>
      </c>
      <c r="BG291" t="s">
        <v>74</v>
      </c>
      <c r="BH291" t="s">
        <v>74</v>
      </c>
      <c r="BI291">
        <v>10</v>
      </c>
      <c r="BJ291" t="s">
        <v>1049</v>
      </c>
      <c r="BK291" t="s">
        <v>88</v>
      </c>
      <c r="BL291" t="s">
        <v>1050</v>
      </c>
      <c r="BM291" t="s">
        <v>4219</v>
      </c>
      <c r="BN291" t="s">
        <v>74</v>
      </c>
      <c r="BO291" t="s">
        <v>74</v>
      </c>
      <c r="BP291" t="s">
        <v>74</v>
      </c>
      <c r="BQ291" t="s">
        <v>74</v>
      </c>
      <c r="BR291" t="s">
        <v>91</v>
      </c>
      <c r="BS291" t="s">
        <v>4220</v>
      </c>
      <c r="BT291" t="str">
        <f>HYPERLINK("https%3A%2F%2Fwww.webofscience.com%2Fwos%2Fwoscc%2Ffull-record%2FWOS:000170569400007","View Full Record in Web of Science")</f>
        <v>View Full Record in Web of Science</v>
      </c>
    </row>
    <row r="292" spans="1:72" x14ac:dyDescent="0.15">
      <c r="A292" t="s">
        <v>72</v>
      </c>
      <c r="B292" t="s">
        <v>4221</v>
      </c>
      <c r="C292" t="s">
        <v>74</v>
      </c>
      <c r="D292" t="s">
        <v>74</v>
      </c>
      <c r="E292" t="s">
        <v>74</v>
      </c>
      <c r="F292" t="s">
        <v>4221</v>
      </c>
      <c r="G292" t="s">
        <v>74</v>
      </c>
      <c r="H292" t="s">
        <v>74</v>
      </c>
      <c r="I292" t="s">
        <v>4222</v>
      </c>
      <c r="J292" t="s">
        <v>264</v>
      </c>
      <c r="K292" t="s">
        <v>74</v>
      </c>
      <c r="L292" t="s">
        <v>74</v>
      </c>
      <c r="M292" t="s">
        <v>77</v>
      </c>
      <c r="N292" t="s">
        <v>120</v>
      </c>
      <c r="O292" t="s">
        <v>74</v>
      </c>
      <c r="P292" t="s">
        <v>74</v>
      </c>
      <c r="Q292" t="s">
        <v>74</v>
      </c>
      <c r="R292" t="s">
        <v>74</v>
      </c>
      <c r="S292" t="s">
        <v>74</v>
      </c>
      <c r="T292" t="s">
        <v>4223</v>
      </c>
      <c r="U292" t="s">
        <v>4224</v>
      </c>
      <c r="V292" t="s">
        <v>4225</v>
      </c>
      <c r="W292" t="s">
        <v>4226</v>
      </c>
      <c r="X292" t="s">
        <v>4227</v>
      </c>
      <c r="Y292" t="s">
        <v>4228</v>
      </c>
      <c r="Z292" t="s">
        <v>4229</v>
      </c>
      <c r="AA292" t="s">
        <v>74</v>
      </c>
      <c r="AB292" t="s">
        <v>74</v>
      </c>
      <c r="AC292" t="s">
        <v>74</v>
      </c>
      <c r="AD292" t="s">
        <v>74</v>
      </c>
      <c r="AE292" t="s">
        <v>74</v>
      </c>
      <c r="AF292" t="s">
        <v>74</v>
      </c>
      <c r="AG292">
        <v>29</v>
      </c>
      <c r="AH292">
        <v>33</v>
      </c>
      <c r="AI292">
        <v>35</v>
      </c>
      <c r="AJ292">
        <v>0</v>
      </c>
      <c r="AK292">
        <v>4</v>
      </c>
      <c r="AL292" t="s">
        <v>273</v>
      </c>
      <c r="AM292" t="s">
        <v>80</v>
      </c>
      <c r="AN292" t="s">
        <v>274</v>
      </c>
      <c r="AO292" t="s">
        <v>275</v>
      </c>
      <c r="AP292" t="s">
        <v>74</v>
      </c>
      <c r="AQ292" t="s">
        <v>74</v>
      </c>
      <c r="AR292" t="s">
        <v>276</v>
      </c>
      <c r="AS292" t="s">
        <v>277</v>
      </c>
      <c r="AT292" t="s">
        <v>3219</v>
      </c>
      <c r="AU292">
        <v>2001</v>
      </c>
      <c r="AV292">
        <v>14</v>
      </c>
      <c r="AW292">
        <v>9</v>
      </c>
      <c r="AX292" t="s">
        <v>74</v>
      </c>
      <c r="AY292" t="s">
        <v>74</v>
      </c>
      <c r="AZ292" t="s">
        <v>74</v>
      </c>
      <c r="BA292" t="s">
        <v>74</v>
      </c>
      <c r="BB292">
        <v>655</v>
      </c>
      <c r="BC292">
        <v>661</v>
      </c>
      <c r="BD292" t="s">
        <v>74</v>
      </c>
      <c r="BE292" t="s">
        <v>4230</v>
      </c>
      <c r="BF292" t="str">
        <f>HYPERLINK("http://dx.doi.org/10.1093/protein/14.9.655","http://dx.doi.org/10.1093/protein/14.9.655")</f>
        <v>http://dx.doi.org/10.1093/protein/14.9.655</v>
      </c>
      <c r="BG292" t="s">
        <v>74</v>
      </c>
      <c r="BH292" t="s">
        <v>74</v>
      </c>
      <c r="BI292">
        <v>7</v>
      </c>
      <c r="BJ292" t="s">
        <v>279</v>
      </c>
      <c r="BK292" t="s">
        <v>88</v>
      </c>
      <c r="BL292" t="s">
        <v>279</v>
      </c>
      <c r="BM292" t="s">
        <v>4231</v>
      </c>
      <c r="BN292">
        <v>11707611</v>
      </c>
      <c r="BO292" t="s">
        <v>171</v>
      </c>
      <c r="BP292" t="s">
        <v>74</v>
      </c>
      <c r="BQ292" t="s">
        <v>74</v>
      </c>
      <c r="BR292" t="s">
        <v>91</v>
      </c>
      <c r="BS292" t="s">
        <v>4232</v>
      </c>
      <c r="BT292" t="str">
        <f>HYPERLINK("https%3A%2F%2Fwww.webofscience.com%2Fwos%2Fwoscc%2Ffull-record%2FWOS:000172378900006","View Full Record in Web of Science")</f>
        <v>View Full Record in Web of Science</v>
      </c>
    </row>
    <row r="293" spans="1:72" x14ac:dyDescent="0.15">
      <c r="A293" t="s">
        <v>72</v>
      </c>
      <c r="B293" t="s">
        <v>4233</v>
      </c>
      <c r="C293" t="s">
        <v>74</v>
      </c>
      <c r="D293" t="s">
        <v>74</v>
      </c>
      <c r="E293" t="s">
        <v>74</v>
      </c>
      <c r="F293" t="s">
        <v>4233</v>
      </c>
      <c r="G293" t="s">
        <v>74</v>
      </c>
      <c r="H293" t="s">
        <v>74</v>
      </c>
      <c r="I293" t="s">
        <v>4234</v>
      </c>
      <c r="J293" t="s">
        <v>4235</v>
      </c>
      <c r="K293" t="s">
        <v>74</v>
      </c>
      <c r="L293" t="s">
        <v>74</v>
      </c>
      <c r="M293" t="s">
        <v>77</v>
      </c>
      <c r="N293" t="s">
        <v>120</v>
      </c>
      <c r="O293" t="s">
        <v>74</v>
      </c>
      <c r="P293" t="s">
        <v>74</v>
      </c>
      <c r="Q293" t="s">
        <v>74</v>
      </c>
      <c r="R293" t="s">
        <v>74</v>
      </c>
      <c r="S293" t="s">
        <v>74</v>
      </c>
      <c r="T293" t="s">
        <v>4236</v>
      </c>
      <c r="U293" t="s">
        <v>4237</v>
      </c>
      <c r="V293" t="s">
        <v>4238</v>
      </c>
      <c r="W293" t="s">
        <v>4239</v>
      </c>
      <c r="X293" t="s">
        <v>4240</v>
      </c>
      <c r="Y293" t="s">
        <v>4241</v>
      </c>
      <c r="Z293" t="s">
        <v>74</v>
      </c>
      <c r="AA293" t="s">
        <v>74</v>
      </c>
      <c r="AB293" t="s">
        <v>4242</v>
      </c>
      <c r="AC293" t="s">
        <v>74</v>
      </c>
      <c r="AD293" t="s">
        <v>74</v>
      </c>
      <c r="AE293" t="s">
        <v>74</v>
      </c>
      <c r="AF293" t="s">
        <v>74</v>
      </c>
      <c r="AG293">
        <v>29</v>
      </c>
      <c r="AH293">
        <v>11</v>
      </c>
      <c r="AI293">
        <v>12</v>
      </c>
      <c r="AJ293">
        <v>0</v>
      </c>
      <c r="AK293">
        <v>3</v>
      </c>
      <c r="AL293" t="s">
        <v>4243</v>
      </c>
      <c r="AM293" t="s">
        <v>4244</v>
      </c>
      <c r="AN293" t="s">
        <v>4245</v>
      </c>
      <c r="AO293" t="s">
        <v>4246</v>
      </c>
      <c r="AP293" t="s">
        <v>74</v>
      </c>
      <c r="AQ293" t="s">
        <v>74</v>
      </c>
      <c r="AR293" t="s">
        <v>4247</v>
      </c>
      <c r="AS293" t="s">
        <v>4248</v>
      </c>
      <c r="AT293" t="s">
        <v>3219</v>
      </c>
      <c r="AU293">
        <v>2001</v>
      </c>
      <c r="AV293">
        <v>18</v>
      </c>
      <c r="AW293">
        <v>2</v>
      </c>
      <c r="AX293" t="s">
        <v>74</v>
      </c>
      <c r="AY293" t="s">
        <v>74</v>
      </c>
      <c r="AZ293" t="s">
        <v>74</v>
      </c>
      <c r="BA293" t="s">
        <v>74</v>
      </c>
      <c r="BB293">
        <v>158</v>
      </c>
      <c r="BC293">
        <v>165</v>
      </c>
      <c r="BD293" t="s">
        <v>74</v>
      </c>
      <c r="BE293" t="s">
        <v>4249</v>
      </c>
      <c r="BF293" t="str">
        <f>HYPERLINK("http://dx.doi.org/10.1071/AS01026","http://dx.doi.org/10.1071/AS01026")</f>
        <v>http://dx.doi.org/10.1071/AS01026</v>
      </c>
      <c r="BG293" t="s">
        <v>74</v>
      </c>
      <c r="BH293" t="s">
        <v>74</v>
      </c>
      <c r="BI293">
        <v>8</v>
      </c>
      <c r="BJ293" t="s">
        <v>1139</v>
      </c>
      <c r="BK293" t="s">
        <v>88</v>
      </c>
      <c r="BL293" t="s">
        <v>1139</v>
      </c>
      <c r="BM293" t="s">
        <v>4250</v>
      </c>
      <c r="BN293" t="s">
        <v>74</v>
      </c>
      <c r="BO293" t="s">
        <v>171</v>
      </c>
      <c r="BP293" t="s">
        <v>74</v>
      </c>
      <c r="BQ293" t="s">
        <v>74</v>
      </c>
      <c r="BR293" t="s">
        <v>91</v>
      </c>
      <c r="BS293" t="s">
        <v>4251</v>
      </c>
      <c r="BT293" t="str">
        <f>HYPERLINK("https%3A%2F%2Fwww.webofscience.com%2Fwos%2Fwoscc%2Ffull-record%2FWOS:000171977000007","View Full Record in Web of Science")</f>
        <v>View Full Record in Web of Science</v>
      </c>
    </row>
    <row r="294" spans="1:72" x14ac:dyDescent="0.15">
      <c r="A294" t="s">
        <v>72</v>
      </c>
      <c r="B294" t="s">
        <v>4252</v>
      </c>
      <c r="C294" t="s">
        <v>74</v>
      </c>
      <c r="D294" t="s">
        <v>74</v>
      </c>
      <c r="E294" t="s">
        <v>74</v>
      </c>
      <c r="F294" t="s">
        <v>4252</v>
      </c>
      <c r="G294" t="s">
        <v>74</v>
      </c>
      <c r="H294" t="s">
        <v>74</v>
      </c>
      <c r="I294" t="s">
        <v>4253</v>
      </c>
      <c r="J294" t="s">
        <v>1689</v>
      </c>
      <c r="K294" t="s">
        <v>74</v>
      </c>
      <c r="L294" t="s">
        <v>74</v>
      </c>
      <c r="M294" t="s">
        <v>77</v>
      </c>
      <c r="N294" t="s">
        <v>120</v>
      </c>
      <c r="O294" t="s">
        <v>74</v>
      </c>
      <c r="P294" t="s">
        <v>74</v>
      </c>
      <c r="Q294" t="s">
        <v>74</v>
      </c>
      <c r="R294" t="s">
        <v>74</v>
      </c>
      <c r="S294" t="s">
        <v>74</v>
      </c>
      <c r="T294" t="s">
        <v>4254</v>
      </c>
      <c r="U294" t="s">
        <v>4255</v>
      </c>
      <c r="V294" t="s">
        <v>4256</v>
      </c>
      <c r="W294" t="s">
        <v>4257</v>
      </c>
      <c r="X294" t="s">
        <v>4258</v>
      </c>
      <c r="Y294" t="s">
        <v>4259</v>
      </c>
      <c r="Z294" t="s">
        <v>74</v>
      </c>
      <c r="AA294" t="s">
        <v>74</v>
      </c>
      <c r="AB294" t="s">
        <v>4260</v>
      </c>
      <c r="AC294" t="s">
        <v>74</v>
      </c>
      <c r="AD294" t="s">
        <v>74</v>
      </c>
      <c r="AE294" t="s">
        <v>74</v>
      </c>
      <c r="AF294" t="s">
        <v>74</v>
      </c>
      <c r="AG294">
        <v>49</v>
      </c>
      <c r="AH294">
        <v>142</v>
      </c>
      <c r="AI294">
        <v>160</v>
      </c>
      <c r="AJ294">
        <v>0</v>
      </c>
      <c r="AK294">
        <v>27</v>
      </c>
      <c r="AL294" t="s">
        <v>1739</v>
      </c>
      <c r="AM294" t="s">
        <v>1133</v>
      </c>
      <c r="AN294" t="s">
        <v>1134</v>
      </c>
      <c r="AO294" t="s">
        <v>1700</v>
      </c>
      <c r="AP294" t="s">
        <v>74</v>
      </c>
      <c r="AQ294" t="s">
        <v>74</v>
      </c>
      <c r="AR294" t="s">
        <v>1702</v>
      </c>
      <c r="AS294" t="s">
        <v>1703</v>
      </c>
      <c r="AT294" t="s">
        <v>3219</v>
      </c>
      <c r="AU294">
        <v>2001</v>
      </c>
      <c r="AV294">
        <v>56</v>
      </c>
      <c r="AW294">
        <v>2</v>
      </c>
      <c r="AX294" t="s">
        <v>74</v>
      </c>
      <c r="AY294" t="s">
        <v>74</v>
      </c>
      <c r="AZ294" t="s">
        <v>74</v>
      </c>
      <c r="BA294" t="s">
        <v>74</v>
      </c>
      <c r="BB294">
        <v>191</v>
      </c>
      <c r="BC294">
        <v>198</v>
      </c>
      <c r="BD294" t="s">
        <v>74</v>
      </c>
      <c r="BE294" t="s">
        <v>4261</v>
      </c>
      <c r="BF294" t="str">
        <f>HYPERLINK("http://dx.doi.org/10.1006/qres.2001.2252","http://dx.doi.org/10.1006/qres.2001.2252")</f>
        <v>http://dx.doi.org/10.1006/qres.2001.2252</v>
      </c>
      <c r="BG294" t="s">
        <v>74</v>
      </c>
      <c r="BH294" t="s">
        <v>74</v>
      </c>
      <c r="BI294">
        <v>8</v>
      </c>
      <c r="BJ294" t="s">
        <v>1049</v>
      </c>
      <c r="BK294" t="s">
        <v>88</v>
      </c>
      <c r="BL294" t="s">
        <v>1050</v>
      </c>
      <c r="BM294" t="s">
        <v>4262</v>
      </c>
      <c r="BN294" t="s">
        <v>74</v>
      </c>
      <c r="BO294" t="s">
        <v>74</v>
      </c>
      <c r="BP294" t="s">
        <v>74</v>
      </c>
      <c r="BQ294" t="s">
        <v>74</v>
      </c>
      <c r="BR294" t="s">
        <v>91</v>
      </c>
      <c r="BS294" t="s">
        <v>4263</v>
      </c>
      <c r="BT294" t="str">
        <f>HYPERLINK("https%3A%2F%2Fwww.webofscience.com%2Fwos%2Fwoscc%2Ffull-record%2FWOS:000171011100007","View Full Record in Web of Science")</f>
        <v>View Full Record in Web of Science</v>
      </c>
    </row>
    <row r="295" spans="1:72" x14ac:dyDescent="0.15">
      <c r="A295" t="s">
        <v>72</v>
      </c>
      <c r="B295" t="s">
        <v>4264</v>
      </c>
      <c r="C295" t="s">
        <v>74</v>
      </c>
      <c r="D295" t="s">
        <v>74</v>
      </c>
      <c r="E295" t="s">
        <v>74</v>
      </c>
      <c r="F295" t="s">
        <v>4264</v>
      </c>
      <c r="G295" t="s">
        <v>74</v>
      </c>
      <c r="H295" t="s">
        <v>74</v>
      </c>
      <c r="I295" t="s">
        <v>4265</v>
      </c>
      <c r="J295" t="s">
        <v>4266</v>
      </c>
      <c r="K295" t="s">
        <v>74</v>
      </c>
      <c r="L295" t="s">
        <v>74</v>
      </c>
      <c r="M295" t="s">
        <v>77</v>
      </c>
      <c r="N295" t="s">
        <v>120</v>
      </c>
      <c r="O295" t="s">
        <v>74</v>
      </c>
      <c r="P295" t="s">
        <v>74</v>
      </c>
      <c r="Q295" t="s">
        <v>74</v>
      </c>
      <c r="R295" t="s">
        <v>74</v>
      </c>
      <c r="S295" t="s">
        <v>74</v>
      </c>
      <c r="T295" t="s">
        <v>74</v>
      </c>
      <c r="U295" t="s">
        <v>4267</v>
      </c>
      <c r="V295" t="s">
        <v>4268</v>
      </c>
      <c r="W295" t="s">
        <v>461</v>
      </c>
      <c r="X295" t="s">
        <v>462</v>
      </c>
      <c r="Y295" t="s">
        <v>4269</v>
      </c>
      <c r="Z295" t="s">
        <v>74</v>
      </c>
      <c r="AA295" t="s">
        <v>4270</v>
      </c>
      <c r="AB295" t="s">
        <v>4271</v>
      </c>
      <c r="AC295" t="s">
        <v>74</v>
      </c>
      <c r="AD295" t="s">
        <v>74</v>
      </c>
      <c r="AE295" t="s">
        <v>74</v>
      </c>
      <c r="AF295" t="s">
        <v>74</v>
      </c>
      <c r="AG295">
        <v>17</v>
      </c>
      <c r="AH295">
        <v>1</v>
      </c>
      <c r="AI295">
        <v>1</v>
      </c>
      <c r="AJ295">
        <v>0</v>
      </c>
      <c r="AK295">
        <v>0</v>
      </c>
      <c r="AL295" t="s">
        <v>149</v>
      </c>
      <c r="AM295" t="s">
        <v>150</v>
      </c>
      <c r="AN295" t="s">
        <v>151</v>
      </c>
      <c r="AO295" t="s">
        <v>4272</v>
      </c>
      <c r="AP295" t="s">
        <v>74</v>
      </c>
      <c r="AQ295" t="s">
        <v>74</v>
      </c>
      <c r="AR295" t="s">
        <v>4273</v>
      </c>
      <c r="AS295" t="s">
        <v>4274</v>
      </c>
      <c r="AT295" t="s">
        <v>3453</v>
      </c>
      <c r="AU295">
        <v>2001</v>
      </c>
      <c r="AV295">
        <v>36</v>
      </c>
      <c r="AW295">
        <v>5</v>
      </c>
      <c r="AX295" t="s">
        <v>74</v>
      </c>
      <c r="AY295" t="s">
        <v>74</v>
      </c>
      <c r="AZ295" t="s">
        <v>74</v>
      </c>
      <c r="BA295" t="s">
        <v>74</v>
      </c>
      <c r="BB295">
        <v>1053</v>
      </c>
      <c r="BC295">
        <v>1064</v>
      </c>
      <c r="BD295" t="s">
        <v>74</v>
      </c>
      <c r="BE295" t="s">
        <v>4275</v>
      </c>
      <c r="BF295" t="str">
        <f>HYPERLINK("http://dx.doi.org/10.1029/2000RS002367","http://dx.doi.org/10.1029/2000RS002367")</f>
        <v>http://dx.doi.org/10.1029/2000RS002367</v>
      </c>
      <c r="BG295" t="s">
        <v>74</v>
      </c>
      <c r="BH295" t="s">
        <v>74</v>
      </c>
      <c r="BI295">
        <v>12</v>
      </c>
      <c r="BJ295" t="s">
        <v>4276</v>
      </c>
      <c r="BK295" t="s">
        <v>88</v>
      </c>
      <c r="BL295" t="s">
        <v>4276</v>
      </c>
      <c r="BM295" t="s">
        <v>4277</v>
      </c>
      <c r="BN295" t="s">
        <v>74</v>
      </c>
      <c r="BO295" t="s">
        <v>171</v>
      </c>
      <c r="BP295" t="s">
        <v>74</v>
      </c>
      <c r="BQ295" t="s">
        <v>74</v>
      </c>
      <c r="BR295" t="s">
        <v>91</v>
      </c>
      <c r="BS295" t="s">
        <v>4278</v>
      </c>
      <c r="BT295" t="str">
        <f>HYPERLINK("https%3A%2F%2Fwww.webofscience.com%2Fwos%2Fwoscc%2Ffull-record%2FWOS:000171570900018","View Full Record in Web of Science")</f>
        <v>View Full Record in Web of Science</v>
      </c>
    </row>
    <row r="296" spans="1:72" x14ac:dyDescent="0.15">
      <c r="A296" t="s">
        <v>72</v>
      </c>
      <c r="B296" t="s">
        <v>4279</v>
      </c>
      <c r="C296" t="s">
        <v>74</v>
      </c>
      <c r="D296" t="s">
        <v>74</v>
      </c>
      <c r="E296" t="s">
        <v>74</v>
      </c>
      <c r="F296" t="s">
        <v>4279</v>
      </c>
      <c r="G296" t="s">
        <v>74</v>
      </c>
      <c r="H296" t="s">
        <v>74</v>
      </c>
      <c r="I296" t="s">
        <v>4280</v>
      </c>
      <c r="J296" t="s">
        <v>4281</v>
      </c>
      <c r="K296" t="s">
        <v>74</v>
      </c>
      <c r="L296" t="s">
        <v>74</v>
      </c>
      <c r="M296" t="s">
        <v>77</v>
      </c>
      <c r="N296" t="s">
        <v>120</v>
      </c>
      <c r="O296" t="s">
        <v>74</v>
      </c>
      <c r="P296" t="s">
        <v>74</v>
      </c>
      <c r="Q296" t="s">
        <v>74</v>
      </c>
      <c r="R296" t="s">
        <v>74</v>
      </c>
      <c r="S296" t="s">
        <v>74</v>
      </c>
      <c r="T296" t="s">
        <v>4282</v>
      </c>
      <c r="U296" t="s">
        <v>4283</v>
      </c>
      <c r="V296" t="s">
        <v>4284</v>
      </c>
      <c r="W296" t="s">
        <v>4285</v>
      </c>
      <c r="X296" t="s">
        <v>4286</v>
      </c>
      <c r="Y296" t="s">
        <v>4287</v>
      </c>
      <c r="Z296" t="s">
        <v>74</v>
      </c>
      <c r="AA296" t="s">
        <v>4288</v>
      </c>
      <c r="AB296" t="s">
        <v>4289</v>
      </c>
      <c r="AC296" t="s">
        <v>74</v>
      </c>
      <c r="AD296" t="s">
        <v>74</v>
      </c>
      <c r="AE296" t="s">
        <v>74</v>
      </c>
      <c r="AF296" t="s">
        <v>74</v>
      </c>
      <c r="AG296">
        <v>28</v>
      </c>
      <c r="AH296">
        <v>17</v>
      </c>
      <c r="AI296">
        <v>20</v>
      </c>
      <c r="AJ296">
        <v>0</v>
      </c>
      <c r="AK296">
        <v>5</v>
      </c>
      <c r="AL296" t="s">
        <v>488</v>
      </c>
      <c r="AM296" t="s">
        <v>350</v>
      </c>
      <c r="AN296" t="s">
        <v>489</v>
      </c>
      <c r="AO296" t="s">
        <v>4290</v>
      </c>
      <c r="AP296" t="s">
        <v>74</v>
      </c>
      <c r="AQ296" t="s">
        <v>74</v>
      </c>
      <c r="AR296" t="s">
        <v>4291</v>
      </c>
      <c r="AS296" t="s">
        <v>4292</v>
      </c>
      <c r="AT296" t="s">
        <v>3219</v>
      </c>
      <c r="AU296">
        <v>2001</v>
      </c>
      <c r="AV296">
        <v>116</v>
      </c>
      <c r="AW296" t="s">
        <v>451</v>
      </c>
      <c r="AX296" t="s">
        <v>74</v>
      </c>
      <c r="AY296" t="s">
        <v>74</v>
      </c>
      <c r="AZ296" t="s">
        <v>74</v>
      </c>
      <c r="BA296" t="s">
        <v>74</v>
      </c>
      <c r="BB296">
        <v>195</v>
      </c>
      <c r="BC296">
        <v>202</v>
      </c>
      <c r="BD296" t="s">
        <v>74</v>
      </c>
      <c r="BE296" t="s">
        <v>4293</v>
      </c>
      <c r="BF296" t="str">
        <f>HYPERLINK("http://dx.doi.org/10.1016/S0034-6667(01)00088-4","http://dx.doi.org/10.1016/S0034-6667(01)00088-4")</f>
        <v>http://dx.doi.org/10.1016/S0034-6667(01)00088-4</v>
      </c>
      <c r="BG296" t="s">
        <v>74</v>
      </c>
      <c r="BH296" t="s">
        <v>74</v>
      </c>
      <c r="BI296">
        <v>8</v>
      </c>
      <c r="BJ296" t="s">
        <v>4294</v>
      </c>
      <c r="BK296" t="s">
        <v>88</v>
      </c>
      <c r="BL296" t="s">
        <v>4294</v>
      </c>
      <c r="BM296" t="s">
        <v>4295</v>
      </c>
      <c r="BN296" t="s">
        <v>74</v>
      </c>
      <c r="BO296" t="s">
        <v>1685</v>
      </c>
      <c r="BP296" t="s">
        <v>74</v>
      </c>
      <c r="BQ296" t="s">
        <v>74</v>
      </c>
      <c r="BR296" t="s">
        <v>91</v>
      </c>
      <c r="BS296" t="s">
        <v>4296</v>
      </c>
      <c r="BT296" t="str">
        <f>HYPERLINK("https%3A%2F%2Fwww.webofscience.com%2Fwos%2Fwoscc%2Ffull-record%2FWOS:000171930900003","View Full Record in Web of Science")</f>
        <v>View Full Record in Web of Science</v>
      </c>
    </row>
    <row r="297" spans="1:72" x14ac:dyDescent="0.15">
      <c r="A297" t="s">
        <v>72</v>
      </c>
      <c r="B297" t="s">
        <v>4297</v>
      </c>
      <c r="C297" t="s">
        <v>74</v>
      </c>
      <c r="D297" t="s">
        <v>74</v>
      </c>
      <c r="E297" t="s">
        <v>74</v>
      </c>
      <c r="F297" t="s">
        <v>4297</v>
      </c>
      <c r="G297" t="s">
        <v>74</v>
      </c>
      <c r="H297" t="s">
        <v>74</v>
      </c>
      <c r="I297" t="s">
        <v>4298</v>
      </c>
      <c r="J297" t="s">
        <v>305</v>
      </c>
      <c r="K297" t="s">
        <v>74</v>
      </c>
      <c r="L297" t="s">
        <v>74</v>
      </c>
      <c r="M297" t="s">
        <v>77</v>
      </c>
      <c r="N297" t="s">
        <v>120</v>
      </c>
      <c r="O297" t="s">
        <v>74</v>
      </c>
      <c r="P297" t="s">
        <v>74</v>
      </c>
      <c r="Q297" t="s">
        <v>74</v>
      </c>
      <c r="R297" t="s">
        <v>74</v>
      </c>
      <c r="S297" t="s">
        <v>74</v>
      </c>
      <c r="T297" t="s">
        <v>4299</v>
      </c>
      <c r="U297" t="s">
        <v>4300</v>
      </c>
      <c r="V297" t="s">
        <v>4301</v>
      </c>
      <c r="W297" t="s">
        <v>4302</v>
      </c>
      <c r="X297" t="s">
        <v>4303</v>
      </c>
      <c r="Y297" t="s">
        <v>4304</v>
      </c>
      <c r="Z297" t="s">
        <v>4305</v>
      </c>
      <c r="AA297" t="s">
        <v>74</v>
      </c>
      <c r="AB297" t="s">
        <v>74</v>
      </c>
      <c r="AC297" t="s">
        <v>74</v>
      </c>
      <c r="AD297" t="s">
        <v>74</v>
      </c>
      <c r="AE297" t="s">
        <v>74</v>
      </c>
      <c r="AF297" t="s">
        <v>74</v>
      </c>
      <c r="AG297">
        <v>58</v>
      </c>
      <c r="AH297">
        <v>37</v>
      </c>
      <c r="AI297">
        <v>40</v>
      </c>
      <c r="AJ297">
        <v>0</v>
      </c>
      <c r="AK297">
        <v>8</v>
      </c>
      <c r="AL297" t="s">
        <v>4306</v>
      </c>
      <c r="AM297" t="s">
        <v>4307</v>
      </c>
      <c r="AN297" t="s">
        <v>4308</v>
      </c>
      <c r="AO297" t="s">
        <v>318</v>
      </c>
      <c r="AP297" t="s">
        <v>74</v>
      </c>
      <c r="AQ297" t="s">
        <v>74</v>
      </c>
      <c r="AR297" t="s">
        <v>320</v>
      </c>
      <c r="AS297" t="s">
        <v>321</v>
      </c>
      <c r="AT297" t="s">
        <v>3219</v>
      </c>
      <c r="AU297">
        <v>2001</v>
      </c>
      <c r="AV297">
        <v>65</v>
      </c>
      <c r="AW297" t="s">
        <v>74</v>
      </c>
      <c r="AX297" t="s">
        <v>74</v>
      </c>
      <c r="AY297">
        <v>2</v>
      </c>
      <c r="AZ297" t="s">
        <v>74</v>
      </c>
      <c r="BA297" t="s">
        <v>74</v>
      </c>
      <c r="BB297">
        <v>141</v>
      </c>
      <c r="BC297">
        <v>152</v>
      </c>
      <c r="BD297" t="s">
        <v>74</v>
      </c>
      <c r="BE297" t="s">
        <v>4309</v>
      </c>
      <c r="BF297" t="str">
        <f>HYPERLINK("http://dx.doi.org/10.3989/scimar.2001.65s2141","http://dx.doi.org/10.3989/scimar.2001.65s2141")</f>
        <v>http://dx.doi.org/10.3989/scimar.2001.65s2141</v>
      </c>
      <c r="BG297" t="s">
        <v>74</v>
      </c>
      <c r="BH297" t="s">
        <v>74</v>
      </c>
      <c r="BI297">
        <v>12</v>
      </c>
      <c r="BJ297" t="s">
        <v>323</v>
      </c>
      <c r="BK297" t="s">
        <v>88</v>
      </c>
      <c r="BL297" t="s">
        <v>323</v>
      </c>
      <c r="BM297" t="s">
        <v>4310</v>
      </c>
      <c r="BN297" t="s">
        <v>74</v>
      </c>
      <c r="BO297" t="s">
        <v>4311</v>
      </c>
      <c r="BP297" t="s">
        <v>74</v>
      </c>
      <c r="BQ297" t="s">
        <v>74</v>
      </c>
      <c r="BR297" t="s">
        <v>91</v>
      </c>
      <c r="BS297" t="s">
        <v>4312</v>
      </c>
      <c r="BT297" t="str">
        <f>HYPERLINK("https%3A%2F%2Fwww.webofscience.com%2Fwos%2Fwoscc%2Ffull-record%2FWOS:000171462600011","View Full Record in Web of Science")</f>
        <v>View Full Record in Web of Science</v>
      </c>
    </row>
    <row r="298" spans="1:72" x14ac:dyDescent="0.15">
      <c r="A298" t="s">
        <v>72</v>
      </c>
      <c r="B298" t="s">
        <v>4313</v>
      </c>
      <c r="C298" t="s">
        <v>74</v>
      </c>
      <c r="D298" t="s">
        <v>74</v>
      </c>
      <c r="E298" t="s">
        <v>74</v>
      </c>
      <c r="F298" t="s">
        <v>4313</v>
      </c>
      <c r="G298" t="s">
        <v>74</v>
      </c>
      <c r="H298" t="s">
        <v>74</v>
      </c>
      <c r="I298" t="s">
        <v>4314</v>
      </c>
      <c r="J298" t="s">
        <v>478</v>
      </c>
      <c r="K298" t="s">
        <v>74</v>
      </c>
      <c r="L298" t="s">
        <v>74</v>
      </c>
      <c r="M298" t="s">
        <v>77</v>
      </c>
      <c r="N298" t="s">
        <v>120</v>
      </c>
      <c r="O298" t="s">
        <v>74</v>
      </c>
      <c r="P298" t="s">
        <v>74</v>
      </c>
      <c r="Q298" t="s">
        <v>74</v>
      </c>
      <c r="R298" t="s">
        <v>74</v>
      </c>
      <c r="S298" t="s">
        <v>74</v>
      </c>
      <c r="T298" t="s">
        <v>4315</v>
      </c>
      <c r="U298" t="s">
        <v>4316</v>
      </c>
      <c r="V298" t="s">
        <v>4317</v>
      </c>
      <c r="W298" t="s">
        <v>4318</v>
      </c>
      <c r="X298" t="s">
        <v>4319</v>
      </c>
      <c r="Y298" t="s">
        <v>4320</v>
      </c>
      <c r="Z298" t="s">
        <v>74</v>
      </c>
      <c r="AA298" t="s">
        <v>4321</v>
      </c>
      <c r="AB298" t="s">
        <v>4322</v>
      </c>
      <c r="AC298" t="s">
        <v>74</v>
      </c>
      <c r="AD298" t="s">
        <v>74</v>
      </c>
      <c r="AE298" t="s">
        <v>74</v>
      </c>
      <c r="AF298" t="s">
        <v>74</v>
      </c>
      <c r="AG298">
        <v>42</v>
      </c>
      <c r="AH298">
        <v>30</v>
      </c>
      <c r="AI298">
        <v>33</v>
      </c>
      <c r="AJ298">
        <v>0</v>
      </c>
      <c r="AK298">
        <v>9</v>
      </c>
      <c r="AL298" t="s">
        <v>488</v>
      </c>
      <c r="AM298" t="s">
        <v>350</v>
      </c>
      <c r="AN298" t="s">
        <v>489</v>
      </c>
      <c r="AO298" t="s">
        <v>490</v>
      </c>
      <c r="AP298" t="s">
        <v>74</v>
      </c>
      <c r="AQ298" t="s">
        <v>74</v>
      </c>
      <c r="AR298" t="s">
        <v>492</v>
      </c>
      <c r="AS298" t="s">
        <v>493</v>
      </c>
      <c r="AT298" t="s">
        <v>4323</v>
      </c>
      <c r="AU298">
        <v>2001</v>
      </c>
      <c r="AV298">
        <v>191</v>
      </c>
      <c r="AW298" t="s">
        <v>495</v>
      </c>
      <c r="AX298" t="s">
        <v>74</v>
      </c>
      <c r="AY298" t="s">
        <v>74</v>
      </c>
      <c r="AZ298" t="s">
        <v>74</v>
      </c>
      <c r="BA298" t="s">
        <v>74</v>
      </c>
      <c r="BB298">
        <v>61</v>
      </c>
      <c r="BC298">
        <v>74</v>
      </c>
      <c r="BD298" t="s">
        <v>74</v>
      </c>
      <c r="BE298" t="s">
        <v>4324</v>
      </c>
      <c r="BF298" t="str">
        <f>HYPERLINK("http://dx.doi.org/10.1016/S0012-821X(01)00402-2","http://dx.doi.org/10.1016/S0012-821X(01)00402-2")</f>
        <v>http://dx.doi.org/10.1016/S0012-821X(01)00402-2</v>
      </c>
      <c r="BG298" t="s">
        <v>74</v>
      </c>
      <c r="BH298" t="s">
        <v>74</v>
      </c>
      <c r="BI298">
        <v>14</v>
      </c>
      <c r="BJ298" t="s">
        <v>388</v>
      </c>
      <c r="BK298" t="s">
        <v>88</v>
      </c>
      <c r="BL298" t="s">
        <v>388</v>
      </c>
      <c r="BM298" t="s">
        <v>4325</v>
      </c>
      <c r="BN298" t="s">
        <v>74</v>
      </c>
      <c r="BO298" t="s">
        <v>74</v>
      </c>
      <c r="BP298" t="s">
        <v>74</v>
      </c>
      <c r="BQ298" t="s">
        <v>74</v>
      </c>
      <c r="BR298" t="s">
        <v>91</v>
      </c>
      <c r="BS298" t="s">
        <v>4326</v>
      </c>
      <c r="BT298" t="str">
        <f>HYPERLINK("https%3A%2F%2Fwww.webofscience.com%2Fwos%2Fwoscc%2Ffull-record%2FWOS:000170864000006","View Full Record in Web of Science")</f>
        <v>View Full Record in Web of Science</v>
      </c>
    </row>
    <row r="299" spans="1:72" x14ac:dyDescent="0.15">
      <c r="A299" t="s">
        <v>72</v>
      </c>
      <c r="B299" t="s">
        <v>4327</v>
      </c>
      <c r="C299" t="s">
        <v>74</v>
      </c>
      <c r="D299" t="s">
        <v>74</v>
      </c>
      <c r="E299" t="s">
        <v>74</v>
      </c>
      <c r="F299" t="s">
        <v>4327</v>
      </c>
      <c r="G299" t="s">
        <v>74</v>
      </c>
      <c r="H299" t="s">
        <v>74</v>
      </c>
      <c r="I299" t="s">
        <v>4328</v>
      </c>
      <c r="J299" t="s">
        <v>478</v>
      </c>
      <c r="K299" t="s">
        <v>74</v>
      </c>
      <c r="L299" t="s">
        <v>74</v>
      </c>
      <c r="M299" t="s">
        <v>77</v>
      </c>
      <c r="N299" t="s">
        <v>120</v>
      </c>
      <c r="O299" t="s">
        <v>74</v>
      </c>
      <c r="P299" t="s">
        <v>74</v>
      </c>
      <c r="Q299" t="s">
        <v>74</v>
      </c>
      <c r="R299" t="s">
        <v>74</v>
      </c>
      <c r="S299" t="s">
        <v>74</v>
      </c>
      <c r="T299" t="s">
        <v>4329</v>
      </c>
      <c r="U299" t="s">
        <v>4330</v>
      </c>
      <c r="V299" t="s">
        <v>4331</v>
      </c>
      <c r="W299" t="s">
        <v>1103</v>
      </c>
      <c r="X299" t="s">
        <v>462</v>
      </c>
      <c r="Y299" t="s">
        <v>4332</v>
      </c>
      <c r="Z299" t="s">
        <v>74</v>
      </c>
      <c r="AA299" t="s">
        <v>4333</v>
      </c>
      <c r="AB299" t="s">
        <v>74</v>
      </c>
      <c r="AC299" t="s">
        <v>74</v>
      </c>
      <c r="AD299" t="s">
        <v>74</v>
      </c>
      <c r="AE299" t="s">
        <v>74</v>
      </c>
      <c r="AF299" t="s">
        <v>74</v>
      </c>
      <c r="AG299">
        <v>43</v>
      </c>
      <c r="AH299">
        <v>47</v>
      </c>
      <c r="AI299">
        <v>49</v>
      </c>
      <c r="AJ299">
        <v>1</v>
      </c>
      <c r="AK299">
        <v>11</v>
      </c>
      <c r="AL299" t="s">
        <v>488</v>
      </c>
      <c r="AM299" t="s">
        <v>350</v>
      </c>
      <c r="AN299" t="s">
        <v>489</v>
      </c>
      <c r="AO299" t="s">
        <v>490</v>
      </c>
      <c r="AP299" t="s">
        <v>74</v>
      </c>
      <c r="AQ299" t="s">
        <v>74</v>
      </c>
      <c r="AR299" t="s">
        <v>492</v>
      </c>
      <c r="AS299" t="s">
        <v>493</v>
      </c>
      <c r="AT299" t="s">
        <v>4323</v>
      </c>
      <c r="AU299">
        <v>2001</v>
      </c>
      <c r="AV299">
        <v>191</v>
      </c>
      <c r="AW299" t="s">
        <v>495</v>
      </c>
      <c r="AX299" t="s">
        <v>74</v>
      </c>
      <c r="AY299" t="s">
        <v>74</v>
      </c>
      <c r="AZ299" t="s">
        <v>74</v>
      </c>
      <c r="BA299" t="s">
        <v>74</v>
      </c>
      <c r="BB299">
        <v>129</v>
      </c>
      <c r="BC299">
        <v>144</v>
      </c>
      <c r="BD299" t="s">
        <v>74</v>
      </c>
      <c r="BE299" t="s">
        <v>4334</v>
      </c>
      <c r="BF299" t="str">
        <f>HYPERLINK("http://dx.doi.org/10.1016/S0012-821X(01)00408-3","http://dx.doi.org/10.1016/S0012-821X(01)00408-3")</f>
        <v>http://dx.doi.org/10.1016/S0012-821X(01)00408-3</v>
      </c>
      <c r="BG299" t="s">
        <v>74</v>
      </c>
      <c r="BH299" t="s">
        <v>74</v>
      </c>
      <c r="BI299">
        <v>16</v>
      </c>
      <c r="BJ299" t="s">
        <v>388</v>
      </c>
      <c r="BK299" t="s">
        <v>88</v>
      </c>
      <c r="BL299" t="s">
        <v>388</v>
      </c>
      <c r="BM299" t="s">
        <v>4325</v>
      </c>
      <c r="BN299" t="s">
        <v>74</v>
      </c>
      <c r="BO299" t="s">
        <v>74</v>
      </c>
      <c r="BP299" t="s">
        <v>74</v>
      </c>
      <c r="BQ299" t="s">
        <v>74</v>
      </c>
      <c r="BR299" t="s">
        <v>91</v>
      </c>
      <c r="BS299" t="s">
        <v>4335</v>
      </c>
      <c r="BT299" t="str">
        <f>HYPERLINK("https%3A%2F%2Fwww.webofscience.com%2Fwos%2Fwoscc%2Ffull-record%2FWOS:000170864000011","View Full Record in Web of Science")</f>
        <v>View Full Record in Web of Science</v>
      </c>
    </row>
    <row r="300" spans="1:72" x14ac:dyDescent="0.15">
      <c r="A300" t="s">
        <v>72</v>
      </c>
      <c r="B300" t="s">
        <v>4336</v>
      </c>
      <c r="C300" t="s">
        <v>74</v>
      </c>
      <c r="D300" t="s">
        <v>74</v>
      </c>
      <c r="E300" t="s">
        <v>74</v>
      </c>
      <c r="F300" t="s">
        <v>4336</v>
      </c>
      <c r="G300" t="s">
        <v>74</v>
      </c>
      <c r="H300" t="s">
        <v>74</v>
      </c>
      <c r="I300" t="s">
        <v>4337</v>
      </c>
      <c r="J300" t="s">
        <v>478</v>
      </c>
      <c r="K300" t="s">
        <v>74</v>
      </c>
      <c r="L300" t="s">
        <v>74</v>
      </c>
      <c r="M300" t="s">
        <v>77</v>
      </c>
      <c r="N300" t="s">
        <v>120</v>
      </c>
      <c r="O300" t="s">
        <v>74</v>
      </c>
      <c r="P300" t="s">
        <v>74</v>
      </c>
      <c r="Q300" t="s">
        <v>74</v>
      </c>
      <c r="R300" t="s">
        <v>74</v>
      </c>
      <c r="S300" t="s">
        <v>74</v>
      </c>
      <c r="T300" t="s">
        <v>4338</v>
      </c>
      <c r="U300" t="s">
        <v>4339</v>
      </c>
      <c r="V300" t="s">
        <v>4340</v>
      </c>
      <c r="W300" t="s">
        <v>4341</v>
      </c>
      <c r="X300" t="s">
        <v>4342</v>
      </c>
      <c r="Y300" t="s">
        <v>4343</v>
      </c>
      <c r="Z300" t="s">
        <v>74</v>
      </c>
      <c r="AA300" t="s">
        <v>74</v>
      </c>
      <c r="AB300" t="s">
        <v>74</v>
      </c>
      <c r="AC300" t="s">
        <v>74</v>
      </c>
      <c r="AD300" t="s">
        <v>74</v>
      </c>
      <c r="AE300" t="s">
        <v>74</v>
      </c>
      <c r="AF300" t="s">
        <v>74</v>
      </c>
      <c r="AG300">
        <v>16</v>
      </c>
      <c r="AH300">
        <v>10</v>
      </c>
      <c r="AI300">
        <v>10</v>
      </c>
      <c r="AJ300">
        <v>0</v>
      </c>
      <c r="AK300">
        <v>4</v>
      </c>
      <c r="AL300" t="s">
        <v>488</v>
      </c>
      <c r="AM300" t="s">
        <v>350</v>
      </c>
      <c r="AN300" t="s">
        <v>489</v>
      </c>
      <c r="AO300" t="s">
        <v>490</v>
      </c>
      <c r="AP300" t="s">
        <v>74</v>
      </c>
      <c r="AQ300" t="s">
        <v>74</v>
      </c>
      <c r="AR300" t="s">
        <v>492</v>
      </c>
      <c r="AS300" t="s">
        <v>493</v>
      </c>
      <c r="AT300" t="s">
        <v>4323</v>
      </c>
      <c r="AU300">
        <v>2001</v>
      </c>
      <c r="AV300">
        <v>191</v>
      </c>
      <c r="AW300" t="s">
        <v>495</v>
      </c>
      <c r="AX300" t="s">
        <v>74</v>
      </c>
      <c r="AY300" t="s">
        <v>74</v>
      </c>
      <c r="AZ300" t="s">
        <v>74</v>
      </c>
      <c r="BA300" t="s">
        <v>74</v>
      </c>
      <c r="BB300">
        <v>167</v>
      </c>
      <c r="BC300">
        <v>172</v>
      </c>
      <c r="BD300" t="s">
        <v>74</v>
      </c>
      <c r="BE300" t="s">
        <v>4344</v>
      </c>
      <c r="BF300" t="str">
        <f>HYPERLINK("http://dx.doi.org/10.1016/S0012-821X(01)00415-0","http://dx.doi.org/10.1016/S0012-821X(01)00415-0")</f>
        <v>http://dx.doi.org/10.1016/S0012-821X(01)00415-0</v>
      </c>
      <c r="BG300" t="s">
        <v>74</v>
      </c>
      <c r="BH300" t="s">
        <v>74</v>
      </c>
      <c r="BI300">
        <v>6</v>
      </c>
      <c r="BJ300" t="s">
        <v>388</v>
      </c>
      <c r="BK300" t="s">
        <v>88</v>
      </c>
      <c r="BL300" t="s">
        <v>388</v>
      </c>
      <c r="BM300" t="s">
        <v>4325</v>
      </c>
      <c r="BN300" t="s">
        <v>74</v>
      </c>
      <c r="BO300" t="s">
        <v>74</v>
      </c>
      <c r="BP300" t="s">
        <v>74</v>
      </c>
      <c r="BQ300" t="s">
        <v>74</v>
      </c>
      <c r="BR300" t="s">
        <v>91</v>
      </c>
      <c r="BS300" t="s">
        <v>4345</v>
      </c>
      <c r="BT300" t="str">
        <f>HYPERLINK("https%3A%2F%2Fwww.webofscience.com%2Fwos%2Fwoscc%2Ffull-record%2FWOS:000170864000014","View Full Record in Web of Science")</f>
        <v>View Full Record in Web of Science</v>
      </c>
    </row>
    <row r="301" spans="1:72" x14ac:dyDescent="0.15">
      <c r="A301" t="s">
        <v>72</v>
      </c>
      <c r="B301" t="s">
        <v>4346</v>
      </c>
      <c r="C301" t="s">
        <v>74</v>
      </c>
      <c r="D301" t="s">
        <v>74</v>
      </c>
      <c r="E301" t="s">
        <v>74</v>
      </c>
      <c r="F301" t="s">
        <v>4346</v>
      </c>
      <c r="G301" t="s">
        <v>74</v>
      </c>
      <c r="H301" t="s">
        <v>74</v>
      </c>
      <c r="I301" t="s">
        <v>4347</v>
      </c>
      <c r="J301" t="s">
        <v>522</v>
      </c>
      <c r="K301" t="s">
        <v>74</v>
      </c>
      <c r="L301" t="s">
        <v>74</v>
      </c>
      <c r="M301" t="s">
        <v>77</v>
      </c>
      <c r="N301" t="s">
        <v>120</v>
      </c>
      <c r="O301" t="s">
        <v>74</v>
      </c>
      <c r="P301" t="s">
        <v>74</v>
      </c>
      <c r="Q301" t="s">
        <v>74</v>
      </c>
      <c r="R301" t="s">
        <v>74</v>
      </c>
      <c r="S301" t="s">
        <v>74</v>
      </c>
      <c r="T301" t="s">
        <v>74</v>
      </c>
      <c r="U301" t="s">
        <v>4348</v>
      </c>
      <c r="V301" t="s">
        <v>4349</v>
      </c>
      <c r="W301" t="s">
        <v>4350</v>
      </c>
      <c r="X301" t="s">
        <v>2367</v>
      </c>
      <c r="Y301" t="s">
        <v>4351</v>
      </c>
      <c r="Z301" t="s">
        <v>4352</v>
      </c>
      <c r="AA301" t="s">
        <v>4353</v>
      </c>
      <c r="AB301" t="s">
        <v>4354</v>
      </c>
      <c r="AC301" t="s">
        <v>74</v>
      </c>
      <c r="AD301" t="s">
        <v>74</v>
      </c>
      <c r="AE301" t="s">
        <v>74</v>
      </c>
      <c r="AF301" t="s">
        <v>74</v>
      </c>
      <c r="AG301">
        <v>44</v>
      </c>
      <c r="AH301">
        <v>46</v>
      </c>
      <c r="AI301">
        <v>49</v>
      </c>
      <c r="AJ301">
        <v>1</v>
      </c>
      <c r="AK301">
        <v>12</v>
      </c>
      <c r="AL301" t="s">
        <v>149</v>
      </c>
      <c r="AM301" t="s">
        <v>150</v>
      </c>
      <c r="AN301" t="s">
        <v>151</v>
      </c>
      <c r="AO301" t="s">
        <v>531</v>
      </c>
      <c r="AP301" t="s">
        <v>532</v>
      </c>
      <c r="AQ301" t="s">
        <v>74</v>
      </c>
      <c r="AR301" t="s">
        <v>533</v>
      </c>
      <c r="AS301" t="s">
        <v>534</v>
      </c>
      <c r="AT301" t="s">
        <v>4355</v>
      </c>
      <c r="AU301">
        <v>2001</v>
      </c>
      <c r="AV301">
        <v>106</v>
      </c>
      <c r="AW301" t="s">
        <v>4356</v>
      </c>
      <c r="AX301" t="s">
        <v>74</v>
      </c>
      <c r="AY301" t="s">
        <v>74</v>
      </c>
      <c r="AZ301" t="s">
        <v>74</v>
      </c>
      <c r="BA301" t="s">
        <v>74</v>
      </c>
      <c r="BB301">
        <v>17799</v>
      </c>
      <c r="BC301">
        <v>17810</v>
      </c>
      <c r="BD301" t="s">
        <v>74</v>
      </c>
      <c r="BE301" t="s">
        <v>4357</v>
      </c>
      <c r="BF301" t="str">
        <f>HYPERLINK("http://dx.doi.org/10.1029/2000JD000104","http://dx.doi.org/10.1029/2000JD000104")</f>
        <v>http://dx.doi.org/10.1029/2000JD000104</v>
      </c>
      <c r="BG301" t="s">
        <v>74</v>
      </c>
      <c r="BH301" t="s">
        <v>74</v>
      </c>
      <c r="BI301">
        <v>12</v>
      </c>
      <c r="BJ301" t="s">
        <v>538</v>
      </c>
      <c r="BK301" t="s">
        <v>88</v>
      </c>
      <c r="BL301" t="s">
        <v>538</v>
      </c>
      <c r="BM301" t="s">
        <v>4358</v>
      </c>
      <c r="BN301" t="s">
        <v>74</v>
      </c>
      <c r="BO301" t="s">
        <v>74</v>
      </c>
      <c r="BP301" t="s">
        <v>74</v>
      </c>
      <c r="BQ301" t="s">
        <v>74</v>
      </c>
      <c r="BR301" t="s">
        <v>91</v>
      </c>
      <c r="BS301" t="s">
        <v>4359</v>
      </c>
      <c r="BT301" t="str">
        <f>HYPERLINK("https%3A%2F%2Fwww.webofscience.com%2Fwos%2Fwoscc%2Ffull-record%2FWOS:000170579400007","View Full Record in Web of Science")</f>
        <v>View Full Record in Web of Science</v>
      </c>
    </row>
    <row r="302" spans="1:72" x14ac:dyDescent="0.15">
      <c r="A302" t="s">
        <v>72</v>
      </c>
      <c r="B302" t="s">
        <v>4360</v>
      </c>
      <c r="C302" t="s">
        <v>74</v>
      </c>
      <c r="D302" t="s">
        <v>74</v>
      </c>
      <c r="E302" t="s">
        <v>74</v>
      </c>
      <c r="F302" t="s">
        <v>4360</v>
      </c>
      <c r="G302" t="s">
        <v>74</v>
      </c>
      <c r="H302" t="s">
        <v>74</v>
      </c>
      <c r="I302" t="s">
        <v>4361</v>
      </c>
      <c r="J302" t="s">
        <v>522</v>
      </c>
      <c r="K302" t="s">
        <v>74</v>
      </c>
      <c r="L302" t="s">
        <v>74</v>
      </c>
      <c r="M302" t="s">
        <v>77</v>
      </c>
      <c r="N302" t="s">
        <v>120</v>
      </c>
      <c r="O302" t="s">
        <v>74</v>
      </c>
      <c r="P302" t="s">
        <v>74</v>
      </c>
      <c r="Q302" t="s">
        <v>74</v>
      </c>
      <c r="R302" t="s">
        <v>74</v>
      </c>
      <c r="S302" t="s">
        <v>74</v>
      </c>
      <c r="T302" t="s">
        <v>74</v>
      </c>
      <c r="U302" t="s">
        <v>4362</v>
      </c>
      <c r="V302" t="s">
        <v>4363</v>
      </c>
      <c r="W302" t="s">
        <v>4364</v>
      </c>
      <c r="X302" t="s">
        <v>1713</v>
      </c>
      <c r="Y302" t="s">
        <v>4365</v>
      </c>
      <c r="Z302" t="s">
        <v>74</v>
      </c>
      <c r="AA302" t="s">
        <v>74</v>
      </c>
      <c r="AB302" t="s">
        <v>74</v>
      </c>
      <c r="AC302" t="s">
        <v>74</v>
      </c>
      <c r="AD302" t="s">
        <v>74</v>
      </c>
      <c r="AE302" t="s">
        <v>74</v>
      </c>
      <c r="AF302" t="s">
        <v>74</v>
      </c>
      <c r="AG302">
        <v>29</v>
      </c>
      <c r="AH302">
        <v>22</v>
      </c>
      <c r="AI302">
        <v>25</v>
      </c>
      <c r="AJ302">
        <v>0</v>
      </c>
      <c r="AK302">
        <v>6</v>
      </c>
      <c r="AL302" t="s">
        <v>149</v>
      </c>
      <c r="AM302" t="s">
        <v>150</v>
      </c>
      <c r="AN302" t="s">
        <v>151</v>
      </c>
      <c r="AO302" t="s">
        <v>4366</v>
      </c>
      <c r="AP302" t="s">
        <v>74</v>
      </c>
      <c r="AQ302" t="s">
        <v>74</v>
      </c>
      <c r="AR302" t="s">
        <v>533</v>
      </c>
      <c r="AS302" t="s">
        <v>534</v>
      </c>
      <c r="AT302" t="s">
        <v>4355</v>
      </c>
      <c r="AU302">
        <v>2001</v>
      </c>
      <c r="AV302">
        <v>106</v>
      </c>
      <c r="AW302" t="s">
        <v>4356</v>
      </c>
      <c r="AX302" t="s">
        <v>74</v>
      </c>
      <c r="AY302" t="s">
        <v>74</v>
      </c>
      <c r="AZ302" t="s">
        <v>74</v>
      </c>
      <c r="BA302" t="s">
        <v>74</v>
      </c>
      <c r="BB302">
        <v>18487</v>
      </c>
      <c r="BC302">
        <v>18493</v>
      </c>
      <c r="BD302" t="s">
        <v>74</v>
      </c>
      <c r="BE302" t="s">
        <v>4367</v>
      </c>
      <c r="BF302" t="str">
        <f>HYPERLINK("http://dx.doi.org/10.1029/2000JD900550","http://dx.doi.org/10.1029/2000JD900550")</f>
        <v>http://dx.doi.org/10.1029/2000JD900550</v>
      </c>
      <c r="BG302" t="s">
        <v>74</v>
      </c>
      <c r="BH302" t="s">
        <v>74</v>
      </c>
      <c r="BI302">
        <v>7</v>
      </c>
      <c r="BJ302" t="s">
        <v>538</v>
      </c>
      <c r="BK302" t="s">
        <v>88</v>
      </c>
      <c r="BL302" t="s">
        <v>538</v>
      </c>
      <c r="BM302" t="s">
        <v>4358</v>
      </c>
      <c r="BN302" t="s">
        <v>74</v>
      </c>
      <c r="BO302" t="s">
        <v>171</v>
      </c>
      <c r="BP302" t="s">
        <v>74</v>
      </c>
      <c r="BQ302" t="s">
        <v>74</v>
      </c>
      <c r="BR302" t="s">
        <v>91</v>
      </c>
      <c r="BS302" t="s">
        <v>4368</v>
      </c>
      <c r="BT302" t="str">
        <f>HYPERLINK("https%3A%2F%2Fwww.webofscience.com%2Fwos%2Fwoscc%2Ffull-record%2FWOS:000170579400059","View Full Record in Web of Science")</f>
        <v>View Full Record in Web of Science</v>
      </c>
    </row>
    <row r="303" spans="1:72" x14ac:dyDescent="0.15">
      <c r="A303" t="s">
        <v>72</v>
      </c>
      <c r="B303" t="s">
        <v>4369</v>
      </c>
      <c r="C303" t="s">
        <v>74</v>
      </c>
      <c r="D303" t="s">
        <v>74</v>
      </c>
      <c r="E303" t="s">
        <v>74</v>
      </c>
      <c r="F303" t="s">
        <v>4369</v>
      </c>
      <c r="G303" t="s">
        <v>74</v>
      </c>
      <c r="H303" t="s">
        <v>74</v>
      </c>
      <c r="I303" t="s">
        <v>4370</v>
      </c>
      <c r="J303" t="s">
        <v>4371</v>
      </c>
      <c r="K303" t="s">
        <v>74</v>
      </c>
      <c r="L303" t="s">
        <v>74</v>
      </c>
      <c r="M303" t="s">
        <v>77</v>
      </c>
      <c r="N303" t="s">
        <v>120</v>
      </c>
      <c r="O303" t="s">
        <v>74</v>
      </c>
      <c r="P303" t="s">
        <v>74</v>
      </c>
      <c r="Q303" t="s">
        <v>74</v>
      </c>
      <c r="R303" t="s">
        <v>74</v>
      </c>
      <c r="S303" t="s">
        <v>74</v>
      </c>
      <c r="T303" t="s">
        <v>74</v>
      </c>
      <c r="U303" t="s">
        <v>4372</v>
      </c>
      <c r="V303" t="s">
        <v>4373</v>
      </c>
      <c r="W303" t="s">
        <v>4374</v>
      </c>
      <c r="X303" t="s">
        <v>4375</v>
      </c>
      <c r="Y303" t="s">
        <v>4376</v>
      </c>
      <c r="Z303" t="s">
        <v>74</v>
      </c>
      <c r="AA303" t="s">
        <v>4377</v>
      </c>
      <c r="AB303" t="s">
        <v>4378</v>
      </c>
      <c r="AC303" t="s">
        <v>74</v>
      </c>
      <c r="AD303" t="s">
        <v>74</v>
      </c>
      <c r="AE303" t="s">
        <v>74</v>
      </c>
      <c r="AF303" t="s">
        <v>74</v>
      </c>
      <c r="AG303">
        <v>27</v>
      </c>
      <c r="AH303">
        <v>40</v>
      </c>
      <c r="AI303">
        <v>42</v>
      </c>
      <c r="AJ303">
        <v>0</v>
      </c>
      <c r="AK303">
        <v>6</v>
      </c>
      <c r="AL303" t="s">
        <v>1293</v>
      </c>
      <c r="AM303" t="s">
        <v>204</v>
      </c>
      <c r="AN303" t="s">
        <v>1699</v>
      </c>
      <c r="AO303" t="s">
        <v>4379</v>
      </c>
      <c r="AP303" t="s">
        <v>4380</v>
      </c>
      <c r="AQ303" t="s">
        <v>74</v>
      </c>
      <c r="AR303" t="s">
        <v>4381</v>
      </c>
      <c r="AS303" t="s">
        <v>4382</v>
      </c>
      <c r="AT303" t="s">
        <v>4383</v>
      </c>
      <c r="AU303">
        <v>2001</v>
      </c>
      <c r="AV303">
        <v>441</v>
      </c>
      <c r="AW303" t="s">
        <v>74</v>
      </c>
      <c r="AX303" t="s">
        <v>74</v>
      </c>
      <c r="AY303" t="s">
        <v>74</v>
      </c>
      <c r="AZ303" t="s">
        <v>74</v>
      </c>
      <c r="BA303" t="s">
        <v>74</v>
      </c>
      <c r="BB303">
        <v>369</v>
      </c>
      <c r="BC303">
        <v>398</v>
      </c>
      <c r="BD303" t="s">
        <v>74</v>
      </c>
      <c r="BE303" t="s">
        <v>4384</v>
      </c>
      <c r="BF303" t="str">
        <f>HYPERLINK("http://dx.doi.org/10.1017/S002211200100502X","http://dx.doi.org/10.1017/S002211200100502X")</f>
        <v>http://dx.doi.org/10.1017/S002211200100502X</v>
      </c>
      <c r="BG303" t="s">
        <v>74</v>
      </c>
      <c r="BH303" t="s">
        <v>74</v>
      </c>
      <c r="BI303">
        <v>30</v>
      </c>
      <c r="BJ303" t="s">
        <v>4385</v>
      </c>
      <c r="BK303" t="s">
        <v>88</v>
      </c>
      <c r="BL303" t="s">
        <v>4386</v>
      </c>
      <c r="BM303" t="s">
        <v>4387</v>
      </c>
      <c r="BN303" t="s">
        <v>74</v>
      </c>
      <c r="BO303" t="s">
        <v>74</v>
      </c>
      <c r="BP303" t="s">
        <v>74</v>
      </c>
      <c r="BQ303" t="s">
        <v>74</v>
      </c>
      <c r="BR303" t="s">
        <v>91</v>
      </c>
      <c r="BS303" t="s">
        <v>4388</v>
      </c>
      <c r="BT303" t="str">
        <f>HYPERLINK("https%3A%2F%2Fwww.webofscience.com%2Fwos%2Fwoscc%2Ffull-record%2FWOS:000170657100014","View Full Record in Web of Science")</f>
        <v>View Full Record in Web of Science</v>
      </c>
    </row>
    <row r="304" spans="1:72" x14ac:dyDescent="0.15">
      <c r="A304" t="s">
        <v>72</v>
      </c>
      <c r="B304" t="s">
        <v>4389</v>
      </c>
      <c r="C304" t="s">
        <v>74</v>
      </c>
      <c r="D304" t="s">
        <v>74</v>
      </c>
      <c r="E304" t="s">
        <v>74</v>
      </c>
      <c r="F304" t="s">
        <v>4389</v>
      </c>
      <c r="G304" t="s">
        <v>74</v>
      </c>
      <c r="H304" t="s">
        <v>74</v>
      </c>
      <c r="I304" t="s">
        <v>4390</v>
      </c>
      <c r="J304" t="s">
        <v>4391</v>
      </c>
      <c r="K304" t="s">
        <v>74</v>
      </c>
      <c r="L304" t="s">
        <v>74</v>
      </c>
      <c r="M304" t="s">
        <v>77</v>
      </c>
      <c r="N304" t="s">
        <v>120</v>
      </c>
      <c r="O304" t="s">
        <v>74</v>
      </c>
      <c r="P304" t="s">
        <v>74</v>
      </c>
      <c r="Q304" t="s">
        <v>74</v>
      </c>
      <c r="R304" t="s">
        <v>74</v>
      </c>
      <c r="S304" t="s">
        <v>74</v>
      </c>
      <c r="T304" t="s">
        <v>74</v>
      </c>
      <c r="U304" t="s">
        <v>74</v>
      </c>
      <c r="V304" t="s">
        <v>4392</v>
      </c>
      <c r="W304" t="s">
        <v>4393</v>
      </c>
      <c r="X304" t="s">
        <v>4394</v>
      </c>
      <c r="Y304" t="s">
        <v>4395</v>
      </c>
      <c r="Z304" t="s">
        <v>4396</v>
      </c>
      <c r="AA304" t="s">
        <v>4397</v>
      </c>
      <c r="AB304" t="s">
        <v>4398</v>
      </c>
      <c r="AC304" t="s">
        <v>74</v>
      </c>
      <c r="AD304" t="s">
        <v>74</v>
      </c>
      <c r="AE304" t="s">
        <v>74</v>
      </c>
      <c r="AF304" t="s">
        <v>74</v>
      </c>
      <c r="AG304">
        <v>16</v>
      </c>
      <c r="AH304">
        <v>30</v>
      </c>
      <c r="AI304">
        <v>32</v>
      </c>
      <c r="AJ304">
        <v>0</v>
      </c>
      <c r="AK304">
        <v>4</v>
      </c>
      <c r="AL304" t="s">
        <v>149</v>
      </c>
      <c r="AM304" t="s">
        <v>150</v>
      </c>
      <c r="AN304" t="s">
        <v>151</v>
      </c>
      <c r="AO304" t="s">
        <v>4399</v>
      </c>
      <c r="AP304" t="s">
        <v>4400</v>
      </c>
      <c r="AQ304" t="s">
        <v>74</v>
      </c>
      <c r="AR304" t="s">
        <v>4401</v>
      </c>
      <c r="AS304" t="s">
        <v>4402</v>
      </c>
      <c r="AT304" t="s">
        <v>4383</v>
      </c>
      <c r="AU304">
        <v>2001</v>
      </c>
      <c r="AV304">
        <v>106</v>
      </c>
      <c r="AW304" t="s">
        <v>4403</v>
      </c>
      <c r="AX304" t="s">
        <v>74</v>
      </c>
      <c r="AY304" t="s">
        <v>74</v>
      </c>
      <c r="AZ304" t="s">
        <v>74</v>
      </c>
      <c r="BA304" t="s">
        <v>74</v>
      </c>
      <c r="BB304">
        <v>17497</v>
      </c>
      <c r="BC304">
        <v>17504</v>
      </c>
      <c r="BD304" t="s">
        <v>74</v>
      </c>
      <c r="BE304" t="s">
        <v>4404</v>
      </c>
      <c r="BF304" t="str">
        <f>HYPERLINK("http://dx.doi.org/10.1029/2000JE001333","http://dx.doi.org/10.1029/2000JE001333")</f>
        <v>http://dx.doi.org/10.1029/2000JE001333</v>
      </c>
      <c r="BG304" t="s">
        <v>74</v>
      </c>
      <c r="BH304" t="s">
        <v>74</v>
      </c>
      <c r="BI304">
        <v>8</v>
      </c>
      <c r="BJ304" t="s">
        <v>388</v>
      </c>
      <c r="BK304" t="s">
        <v>88</v>
      </c>
      <c r="BL304" t="s">
        <v>388</v>
      </c>
      <c r="BM304" t="s">
        <v>4405</v>
      </c>
      <c r="BN304" t="s">
        <v>74</v>
      </c>
      <c r="BO304" t="s">
        <v>171</v>
      </c>
      <c r="BP304" t="s">
        <v>74</v>
      </c>
      <c r="BQ304" t="s">
        <v>74</v>
      </c>
      <c r="BR304" t="s">
        <v>91</v>
      </c>
      <c r="BS304" t="s">
        <v>4406</v>
      </c>
      <c r="BT304" t="str">
        <f>HYPERLINK("https%3A%2F%2Fwww.webofscience.com%2Fwos%2Fwoscc%2Ffull-record%2FWOS:000170579600001","View Full Record in Web of Science")</f>
        <v>View Full Record in Web of Science</v>
      </c>
    </row>
    <row r="305" spans="1:72" x14ac:dyDescent="0.15">
      <c r="A305" t="s">
        <v>72</v>
      </c>
      <c r="B305" t="s">
        <v>4407</v>
      </c>
      <c r="C305" t="s">
        <v>74</v>
      </c>
      <c r="D305" t="s">
        <v>74</v>
      </c>
      <c r="E305" t="s">
        <v>74</v>
      </c>
      <c r="F305" t="s">
        <v>4407</v>
      </c>
      <c r="G305" t="s">
        <v>74</v>
      </c>
      <c r="H305" t="s">
        <v>74</v>
      </c>
      <c r="I305" t="s">
        <v>4408</v>
      </c>
      <c r="J305" t="s">
        <v>695</v>
      </c>
      <c r="K305" t="s">
        <v>74</v>
      </c>
      <c r="L305" t="s">
        <v>74</v>
      </c>
      <c r="M305" t="s">
        <v>77</v>
      </c>
      <c r="N305" t="s">
        <v>120</v>
      </c>
      <c r="O305" t="s">
        <v>74</v>
      </c>
      <c r="P305" t="s">
        <v>74</v>
      </c>
      <c r="Q305" t="s">
        <v>74</v>
      </c>
      <c r="R305" t="s">
        <v>74</v>
      </c>
      <c r="S305" t="s">
        <v>74</v>
      </c>
      <c r="T305" t="s">
        <v>74</v>
      </c>
      <c r="U305" t="s">
        <v>4409</v>
      </c>
      <c r="V305" t="s">
        <v>74</v>
      </c>
      <c r="W305" t="s">
        <v>4410</v>
      </c>
      <c r="X305" t="s">
        <v>4411</v>
      </c>
      <c r="Y305" t="s">
        <v>4412</v>
      </c>
      <c r="Z305" t="s">
        <v>74</v>
      </c>
      <c r="AA305" t="s">
        <v>74</v>
      </c>
      <c r="AB305" t="s">
        <v>74</v>
      </c>
      <c r="AC305" t="s">
        <v>74</v>
      </c>
      <c r="AD305" t="s">
        <v>74</v>
      </c>
      <c r="AE305" t="s">
        <v>74</v>
      </c>
      <c r="AF305" t="s">
        <v>74</v>
      </c>
      <c r="AG305">
        <v>9</v>
      </c>
      <c r="AH305">
        <v>14</v>
      </c>
      <c r="AI305">
        <v>17</v>
      </c>
      <c r="AJ305">
        <v>0</v>
      </c>
      <c r="AK305">
        <v>7</v>
      </c>
      <c r="AL305" t="s">
        <v>700</v>
      </c>
      <c r="AM305" t="s">
        <v>683</v>
      </c>
      <c r="AN305" t="s">
        <v>701</v>
      </c>
      <c r="AO305" t="s">
        <v>702</v>
      </c>
      <c r="AP305" t="s">
        <v>74</v>
      </c>
      <c r="AQ305" t="s">
        <v>74</v>
      </c>
      <c r="AR305" t="s">
        <v>695</v>
      </c>
      <c r="AS305" t="s">
        <v>703</v>
      </c>
      <c r="AT305" t="s">
        <v>4413</v>
      </c>
      <c r="AU305">
        <v>2001</v>
      </c>
      <c r="AV305">
        <v>412</v>
      </c>
      <c r="AW305">
        <v>6849</v>
      </c>
      <c r="AX305" t="s">
        <v>74</v>
      </c>
      <c r="AY305" t="s">
        <v>74</v>
      </c>
      <c r="AZ305" t="s">
        <v>74</v>
      </c>
      <c r="BA305" t="s">
        <v>74</v>
      </c>
      <c r="BB305">
        <v>785</v>
      </c>
      <c r="BC305">
        <v>786</v>
      </c>
      <c r="BD305" t="s">
        <v>74</v>
      </c>
      <c r="BE305" t="s">
        <v>4414</v>
      </c>
      <c r="BF305" t="str">
        <f>HYPERLINK("http://dx.doi.org/10.1038/35090632","http://dx.doi.org/10.1038/35090632")</f>
        <v>http://dx.doi.org/10.1038/35090632</v>
      </c>
      <c r="BG305" t="s">
        <v>74</v>
      </c>
      <c r="BH305" t="s">
        <v>74</v>
      </c>
      <c r="BI305">
        <v>2</v>
      </c>
      <c r="BJ305" t="s">
        <v>575</v>
      </c>
      <c r="BK305" t="s">
        <v>88</v>
      </c>
      <c r="BL305" t="s">
        <v>576</v>
      </c>
      <c r="BM305" t="s">
        <v>4415</v>
      </c>
      <c r="BN305">
        <v>11518955</v>
      </c>
      <c r="BO305" t="s">
        <v>74</v>
      </c>
      <c r="BP305" t="s">
        <v>74</v>
      </c>
      <c r="BQ305" t="s">
        <v>74</v>
      </c>
      <c r="BR305" t="s">
        <v>91</v>
      </c>
      <c r="BS305" t="s">
        <v>4416</v>
      </c>
      <c r="BT305" t="str">
        <f>HYPERLINK("https%3A%2F%2Fwww.webofscience.com%2Fwos%2Fwoscc%2Ffull-record%2FWOS:000170577200026","View Full Record in Web of Science")</f>
        <v>View Full Record in Web of Science</v>
      </c>
    </row>
    <row r="306" spans="1:72" x14ac:dyDescent="0.15">
      <c r="A306" t="s">
        <v>72</v>
      </c>
      <c r="B306" t="s">
        <v>4417</v>
      </c>
      <c r="C306" t="s">
        <v>74</v>
      </c>
      <c r="D306" t="s">
        <v>74</v>
      </c>
      <c r="E306" t="s">
        <v>74</v>
      </c>
      <c r="F306" t="s">
        <v>4417</v>
      </c>
      <c r="G306" t="s">
        <v>74</v>
      </c>
      <c r="H306" t="s">
        <v>74</v>
      </c>
      <c r="I306" t="s">
        <v>4418</v>
      </c>
      <c r="J306" t="s">
        <v>695</v>
      </c>
      <c r="K306" t="s">
        <v>74</v>
      </c>
      <c r="L306" t="s">
        <v>74</v>
      </c>
      <c r="M306" t="s">
        <v>77</v>
      </c>
      <c r="N306" t="s">
        <v>120</v>
      </c>
      <c r="O306" t="s">
        <v>74</v>
      </c>
      <c r="P306" t="s">
        <v>74</v>
      </c>
      <c r="Q306" t="s">
        <v>74</v>
      </c>
      <c r="R306" t="s">
        <v>74</v>
      </c>
      <c r="S306" t="s">
        <v>74</v>
      </c>
      <c r="T306" t="s">
        <v>74</v>
      </c>
      <c r="U306" t="s">
        <v>4419</v>
      </c>
      <c r="V306" t="s">
        <v>4420</v>
      </c>
      <c r="W306" t="s">
        <v>4421</v>
      </c>
      <c r="X306" t="s">
        <v>4422</v>
      </c>
      <c r="Y306" t="s">
        <v>2308</v>
      </c>
      <c r="Z306" t="s">
        <v>4423</v>
      </c>
      <c r="AA306" t="s">
        <v>4424</v>
      </c>
      <c r="AB306" t="s">
        <v>4425</v>
      </c>
      <c r="AC306" t="s">
        <v>74</v>
      </c>
      <c r="AD306" t="s">
        <v>74</v>
      </c>
      <c r="AE306" t="s">
        <v>74</v>
      </c>
      <c r="AF306" t="s">
        <v>74</v>
      </c>
      <c r="AG306">
        <v>31</v>
      </c>
      <c r="AH306">
        <v>176</v>
      </c>
      <c r="AI306">
        <v>195</v>
      </c>
      <c r="AJ306">
        <v>3</v>
      </c>
      <c r="AK306">
        <v>54</v>
      </c>
      <c r="AL306" t="s">
        <v>1890</v>
      </c>
      <c r="AM306" t="s">
        <v>683</v>
      </c>
      <c r="AN306" t="s">
        <v>1891</v>
      </c>
      <c r="AO306" t="s">
        <v>702</v>
      </c>
      <c r="AP306" t="s">
        <v>1892</v>
      </c>
      <c r="AQ306" t="s">
        <v>74</v>
      </c>
      <c r="AR306" t="s">
        <v>695</v>
      </c>
      <c r="AS306" t="s">
        <v>703</v>
      </c>
      <c r="AT306" t="s">
        <v>4413</v>
      </c>
      <c r="AU306">
        <v>2001</v>
      </c>
      <c r="AV306">
        <v>412</v>
      </c>
      <c r="AW306">
        <v>6849</v>
      </c>
      <c r="AX306" t="s">
        <v>74</v>
      </c>
      <c r="AY306" t="s">
        <v>74</v>
      </c>
      <c r="AZ306" t="s">
        <v>74</v>
      </c>
      <c r="BA306" t="s">
        <v>74</v>
      </c>
      <c r="BB306">
        <v>809</v>
      </c>
      <c r="BC306">
        <v>812</v>
      </c>
      <c r="BD306" t="s">
        <v>74</v>
      </c>
      <c r="BE306" t="s">
        <v>4426</v>
      </c>
      <c r="BF306" t="str">
        <f>HYPERLINK("http://dx.doi.org/10.1038/35090552","http://dx.doi.org/10.1038/35090552")</f>
        <v>http://dx.doi.org/10.1038/35090552</v>
      </c>
      <c r="BG306" t="s">
        <v>74</v>
      </c>
      <c r="BH306" t="s">
        <v>74</v>
      </c>
      <c r="BI306">
        <v>4</v>
      </c>
      <c r="BJ306" t="s">
        <v>575</v>
      </c>
      <c r="BK306" t="s">
        <v>88</v>
      </c>
      <c r="BL306" t="s">
        <v>576</v>
      </c>
      <c r="BM306" t="s">
        <v>4415</v>
      </c>
      <c r="BN306">
        <v>11518963</v>
      </c>
      <c r="BO306" t="s">
        <v>74</v>
      </c>
      <c r="BP306" t="s">
        <v>74</v>
      </c>
      <c r="BQ306" t="s">
        <v>74</v>
      </c>
      <c r="BR306" t="s">
        <v>91</v>
      </c>
      <c r="BS306" t="s">
        <v>4427</v>
      </c>
      <c r="BT306" t="str">
        <f>HYPERLINK("https%3A%2F%2Fwww.webofscience.com%2Fwos%2Fwoscc%2Ffull-record%2FWOS:000170577200034","View Full Record in Web of Science")</f>
        <v>View Full Record in Web of Science</v>
      </c>
    </row>
    <row r="307" spans="1:72" x14ac:dyDescent="0.15">
      <c r="A307" t="s">
        <v>72</v>
      </c>
      <c r="B307" t="s">
        <v>4428</v>
      </c>
      <c r="C307" t="s">
        <v>74</v>
      </c>
      <c r="D307" t="s">
        <v>74</v>
      </c>
      <c r="E307" t="s">
        <v>74</v>
      </c>
      <c r="F307" t="s">
        <v>4428</v>
      </c>
      <c r="G307" t="s">
        <v>74</v>
      </c>
      <c r="H307" t="s">
        <v>74</v>
      </c>
      <c r="I307" t="s">
        <v>4429</v>
      </c>
      <c r="J307" t="s">
        <v>4430</v>
      </c>
      <c r="K307" t="s">
        <v>74</v>
      </c>
      <c r="L307" t="s">
        <v>74</v>
      </c>
      <c r="M307" t="s">
        <v>77</v>
      </c>
      <c r="N307" t="s">
        <v>120</v>
      </c>
      <c r="O307" t="s">
        <v>74</v>
      </c>
      <c r="P307" t="s">
        <v>74</v>
      </c>
      <c r="Q307" t="s">
        <v>74</v>
      </c>
      <c r="R307" t="s">
        <v>74</v>
      </c>
      <c r="S307" t="s">
        <v>74</v>
      </c>
      <c r="T307" t="s">
        <v>4431</v>
      </c>
      <c r="U307" t="s">
        <v>4432</v>
      </c>
      <c r="V307" t="s">
        <v>4433</v>
      </c>
      <c r="W307" t="s">
        <v>4434</v>
      </c>
      <c r="X307" t="s">
        <v>4435</v>
      </c>
      <c r="Y307" t="s">
        <v>4436</v>
      </c>
      <c r="Z307" t="s">
        <v>4437</v>
      </c>
      <c r="AA307" t="s">
        <v>4438</v>
      </c>
      <c r="AB307" t="s">
        <v>4439</v>
      </c>
      <c r="AC307" t="s">
        <v>74</v>
      </c>
      <c r="AD307" t="s">
        <v>74</v>
      </c>
      <c r="AE307" t="s">
        <v>74</v>
      </c>
      <c r="AF307" t="s">
        <v>74</v>
      </c>
      <c r="AG307">
        <v>36</v>
      </c>
      <c r="AH307">
        <v>31</v>
      </c>
      <c r="AI307">
        <v>36</v>
      </c>
      <c r="AJ307">
        <v>0</v>
      </c>
      <c r="AK307">
        <v>7</v>
      </c>
      <c r="AL307" t="s">
        <v>488</v>
      </c>
      <c r="AM307" t="s">
        <v>350</v>
      </c>
      <c r="AN307" t="s">
        <v>489</v>
      </c>
      <c r="AO307" t="s">
        <v>4440</v>
      </c>
      <c r="AP307" t="s">
        <v>4441</v>
      </c>
      <c r="AQ307" t="s">
        <v>74</v>
      </c>
      <c r="AR307" t="s">
        <v>4430</v>
      </c>
      <c r="AS307" t="s">
        <v>4442</v>
      </c>
      <c r="AT307" t="s">
        <v>4443</v>
      </c>
      <c r="AU307">
        <v>2001</v>
      </c>
      <c r="AV307">
        <v>274</v>
      </c>
      <c r="AW307" t="s">
        <v>495</v>
      </c>
      <c r="AX307" t="s">
        <v>74</v>
      </c>
      <c r="AY307" t="s">
        <v>74</v>
      </c>
      <c r="AZ307" t="s">
        <v>74</v>
      </c>
      <c r="BA307" t="s">
        <v>74</v>
      </c>
      <c r="BB307">
        <v>199</v>
      </c>
      <c r="BC307">
        <v>208</v>
      </c>
      <c r="BD307" t="s">
        <v>74</v>
      </c>
      <c r="BE307" t="s">
        <v>4444</v>
      </c>
      <c r="BF307" t="str">
        <f>HYPERLINK("http://dx.doi.org/10.1016/S0378-1119(01)00609-6","http://dx.doi.org/10.1016/S0378-1119(01)00609-6")</f>
        <v>http://dx.doi.org/10.1016/S0378-1119(01)00609-6</v>
      </c>
      <c r="BG307" t="s">
        <v>74</v>
      </c>
      <c r="BH307" t="s">
        <v>74</v>
      </c>
      <c r="BI307">
        <v>10</v>
      </c>
      <c r="BJ307" t="s">
        <v>4445</v>
      </c>
      <c r="BK307" t="s">
        <v>88</v>
      </c>
      <c r="BL307" t="s">
        <v>4445</v>
      </c>
      <c r="BM307" t="s">
        <v>4446</v>
      </c>
      <c r="BN307">
        <v>11675012</v>
      </c>
      <c r="BO307" t="s">
        <v>74</v>
      </c>
      <c r="BP307" t="s">
        <v>74</v>
      </c>
      <c r="BQ307" t="s">
        <v>74</v>
      </c>
      <c r="BR307" t="s">
        <v>91</v>
      </c>
      <c r="BS307" t="s">
        <v>4447</v>
      </c>
      <c r="BT307" t="str">
        <f>HYPERLINK("https%3A%2F%2Fwww.webofscience.com%2Fwos%2Fwoscc%2Ffull-record%2FWOS:000171584500020","View Full Record in Web of Science")</f>
        <v>View Full Record in Web of Science</v>
      </c>
    </row>
    <row r="308" spans="1:72" x14ac:dyDescent="0.15">
      <c r="A308" t="s">
        <v>72</v>
      </c>
      <c r="B308" t="s">
        <v>4448</v>
      </c>
      <c r="C308" t="s">
        <v>74</v>
      </c>
      <c r="D308" t="s">
        <v>74</v>
      </c>
      <c r="E308" t="s">
        <v>74</v>
      </c>
      <c r="F308" t="s">
        <v>4448</v>
      </c>
      <c r="G308" t="s">
        <v>74</v>
      </c>
      <c r="H308" t="s">
        <v>74</v>
      </c>
      <c r="I308" t="s">
        <v>4449</v>
      </c>
      <c r="J308" t="s">
        <v>4450</v>
      </c>
      <c r="K308" t="s">
        <v>74</v>
      </c>
      <c r="L308" t="s">
        <v>74</v>
      </c>
      <c r="M308" t="s">
        <v>77</v>
      </c>
      <c r="N308" t="s">
        <v>120</v>
      </c>
      <c r="O308" t="s">
        <v>74</v>
      </c>
      <c r="P308" t="s">
        <v>74</v>
      </c>
      <c r="Q308" t="s">
        <v>74</v>
      </c>
      <c r="R308" t="s">
        <v>74</v>
      </c>
      <c r="S308" t="s">
        <v>74</v>
      </c>
      <c r="T308" t="s">
        <v>4451</v>
      </c>
      <c r="U308" t="s">
        <v>4452</v>
      </c>
      <c r="V308" t="s">
        <v>4453</v>
      </c>
      <c r="W308" t="s">
        <v>4454</v>
      </c>
      <c r="X308" t="s">
        <v>4455</v>
      </c>
      <c r="Y308" t="s">
        <v>4456</v>
      </c>
      <c r="Z308" t="s">
        <v>74</v>
      </c>
      <c r="AA308" t="s">
        <v>4457</v>
      </c>
      <c r="AB308" t="s">
        <v>4458</v>
      </c>
      <c r="AC308" t="s">
        <v>74</v>
      </c>
      <c r="AD308" t="s">
        <v>74</v>
      </c>
      <c r="AE308" t="s">
        <v>74</v>
      </c>
      <c r="AF308" t="s">
        <v>74</v>
      </c>
      <c r="AG308">
        <v>52</v>
      </c>
      <c r="AH308">
        <v>73</v>
      </c>
      <c r="AI308">
        <v>83</v>
      </c>
      <c r="AJ308">
        <v>4</v>
      </c>
      <c r="AK308">
        <v>36</v>
      </c>
      <c r="AL308" t="s">
        <v>488</v>
      </c>
      <c r="AM308" t="s">
        <v>350</v>
      </c>
      <c r="AN308" t="s">
        <v>489</v>
      </c>
      <c r="AO308" t="s">
        <v>4459</v>
      </c>
      <c r="AP308" t="s">
        <v>74</v>
      </c>
      <c r="AQ308" t="s">
        <v>74</v>
      </c>
      <c r="AR308" t="s">
        <v>4460</v>
      </c>
      <c r="AS308" t="s">
        <v>4461</v>
      </c>
      <c r="AT308" t="s">
        <v>4462</v>
      </c>
      <c r="AU308">
        <v>2001</v>
      </c>
      <c r="AV308">
        <v>81</v>
      </c>
      <c r="AW308">
        <v>4</v>
      </c>
      <c r="AX308" t="s">
        <v>74</v>
      </c>
      <c r="AY308" t="s">
        <v>74</v>
      </c>
      <c r="AZ308" t="s">
        <v>74</v>
      </c>
      <c r="BA308" t="s">
        <v>74</v>
      </c>
      <c r="BB308">
        <v>287</v>
      </c>
      <c r="BC308">
        <v>304</v>
      </c>
      <c r="BD308" t="s">
        <v>74</v>
      </c>
      <c r="BE308" t="s">
        <v>4463</v>
      </c>
      <c r="BF308" t="str">
        <f>HYPERLINK("http://dx.doi.org/10.1016/S0378-1135(01)00368-6","http://dx.doi.org/10.1016/S0378-1135(01)00368-6")</f>
        <v>http://dx.doi.org/10.1016/S0378-1135(01)00368-6</v>
      </c>
      <c r="BG308" t="s">
        <v>74</v>
      </c>
      <c r="BH308" t="s">
        <v>74</v>
      </c>
      <c r="BI308">
        <v>18</v>
      </c>
      <c r="BJ308" t="s">
        <v>4464</v>
      </c>
      <c r="BK308" t="s">
        <v>88</v>
      </c>
      <c r="BL308" t="s">
        <v>4464</v>
      </c>
      <c r="BM308" t="s">
        <v>4465</v>
      </c>
      <c r="BN308">
        <v>11390111</v>
      </c>
      <c r="BO308" t="s">
        <v>74</v>
      </c>
      <c r="BP308" t="s">
        <v>74</v>
      </c>
      <c r="BQ308" t="s">
        <v>74</v>
      </c>
      <c r="BR308" t="s">
        <v>91</v>
      </c>
      <c r="BS308" t="s">
        <v>4466</v>
      </c>
      <c r="BT308" t="str">
        <f>HYPERLINK("https%3A%2F%2Fwww.webofscience.com%2Fwos%2Fwoscc%2Ffull-record%2FWOS:000169721900001","View Full Record in Web of Science")</f>
        <v>View Full Record in Web of Science</v>
      </c>
    </row>
    <row r="309" spans="1:72" x14ac:dyDescent="0.15">
      <c r="A309" t="s">
        <v>72</v>
      </c>
      <c r="B309" t="s">
        <v>4467</v>
      </c>
      <c r="C309" t="s">
        <v>74</v>
      </c>
      <c r="D309" t="s">
        <v>74</v>
      </c>
      <c r="E309" t="s">
        <v>74</v>
      </c>
      <c r="F309" t="s">
        <v>4467</v>
      </c>
      <c r="G309" t="s">
        <v>74</v>
      </c>
      <c r="H309" t="s">
        <v>74</v>
      </c>
      <c r="I309" t="s">
        <v>4468</v>
      </c>
      <c r="J309" t="s">
        <v>522</v>
      </c>
      <c r="K309" t="s">
        <v>74</v>
      </c>
      <c r="L309" t="s">
        <v>74</v>
      </c>
      <c r="M309" t="s">
        <v>77</v>
      </c>
      <c r="N309" t="s">
        <v>120</v>
      </c>
      <c r="O309" t="s">
        <v>74</v>
      </c>
      <c r="P309" t="s">
        <v>74</v>
      </c>
      <c r="Q309" t="s">
        <v>74</v>
      </c>
      <c r="R309" t="s">
        <v>74</v>
      </c>
      <c r="S309" t="s">
        <v>74</v>
      </c>
      <c r="T309" t="s">
        <v>74</v>
      </c>
      <c r="U309" t="s">
        <v>4469</v>
      </c>
      <c r="V309" t="s">
        <v>4470</v>
      </c>
      <c r="W309" t="s">
        <v>4471</v>
      </c>
      <c r="X309" t="s">
        <v>4472</v>
      </c>
      <c r="Y309" t="s">
        <v>4473</v>
      </c>
      <c r="Z309" t="s">
        <v>74</v>
      </c>
      <c r="AA309" t="s">
        <v>74</v>
      </c>
      <c r="AB309" t="s">
        <v>4474</v>
      </c>
      <c r="AC309" t="s">
        <v>74</v>
      </c>
      <c r="AD309" t="s">
        <v>74</v>
      </c>
      <c r="AE309" t="s">
        <v>74</v>
      </c>
      <c r="AF309" t="s">
        <v>74</v>
      </c>
      <c r="AG309">
        <v>35</v>
      </c>
      <c r="AH309">
        <v>4</v>
      </c>
      <c r="AI309">
        <v>4</v>
      </c>
      <c r="AJ309">
        <v>0</v>
      </c>
      <c r="AK309">
        <v>1</v>
      </c>
      <c r="AL309" t="s">
        <v>149</v>
      </c>
      <c r="AM309" t="s">
        <v>150</v>
      </c>
      <c r="AN309" t="s">
        <v>151</v>
      </c>
      <c r="AO309" t="s">
        <v>4366</v>
      </c>
      <c r="AP309" t="s">
        <v>74</v>
      </c>
      <c r="AQ309" t="s">
        <v>74</v>
      </c>
      <c r="AR309" t="s">
        <v>533</v>
      </c>
      <c r="AS309" t="s">
        <v>534</v>
      </c>
      <c r="AT309" t="s">
        <v>4475</v>
      </c>
      <c r="AU309">
        <v>2001</v>
      </c>
      <c r="AV309">
        <v>106</v>
      </c>
      <c r="AW309" t="s">
        <v>4476</v>
      </c>
      <c r="AX309" t="s">
        <v>74</v>
      </c>
      <c r="AY309" t="s">
        <v>74</v>
      </c>
      <c r="AZ309" t="s">
        <v>74</v>
      </c>
      <c r="BA309" t="s">
        <v>74</v>
      </c>
      <c r="BB309">
        <v>17093</v>
      </c>
      <c r="BC309">
        <v>17102</v>
      </c>
      <c r="BD309" t="s">
        <v>74</v>
      </c>
      <c r="BE309" t="s">
        <v>4477</v>
      </c>
      <c r="BF309" t="str">
        <f>HYPERLINK("http://dx.doi.org/10.1029/2001JD900123","http://dx.doi.org/10.1029/2001JD900123")</f>
        <v>http://dx.doi.org/10.1029/2001JD900123</v>
      </c>
      <c r="BG309" t="s">
        <v>74</v>
      </c>
      <c r="BH309" t="s">
        <v>74</v>
      </c>
      <c r="BI309">
        <v>10</v>
      </c>
      <c r="BJ309" t="s">
        <v>538</v>
      </c>
      <c r="BK309" t="s">
        <v>88</v>
      </c>
      <c r="BL309" t="s">
        <v>538</v>
      </c>
      <c r="BM309" t="s">
        <v>4478</v>
      </c>
      <c r="BN309" t="s">
        <v>74</v>
      </c>
      <c r="BO309" t="s">
        <v>74</v>
      </c>
      <c r="BP309" t="s">
        <v>74</v>
      </c>
      <c r="BQ309" t="s">
        <v>74</v>
      </c>
      <c r="BR309" t="s">
        <v>91</v>
      </c>
      <c r="BS309" t="s">
        <v>4479</v>
      </c>
      <c r="BT309" t="str">
        <f>HYPERLINK("https%3A%2F%2Fwww.webofscience.com%2Fwos%2Fwoscc%2Ffull-record%2FWOS:000170457200002","View Full Record in Web of Science")</f>
        <v>View Full Record in Web of Science</v>
      </c>
    </row>
    <row r="310" spans="1:72" x14ac:dyDescent="0.15">
      <c r="A310" t="s">
        <v>72</v>
      </c>
      <c r="B310" t="s">
        <v>4480</v>
      </c>
      <c r="C310" t="s">
        <v>74</v>
      </c>
      <c r="D310" t="s">
        <v>74</v>
      </c>
      <c r="E310" t="s">
        <v>74</v>
      </c>
      <c r="F310" t="s">
        <v>4480</v>
      </c>
      <c r="G310" t="s">
        <v>74</v>
      </c>
      <c r="H310" t="s">
        <v>74</v>
      </c>
      <c r="I310" t="s">
        <v>4481</v>
      </c>
      <c r="J310" t="s">
        <v>613</v>
      </c>
      <c r="K310" t="s">
        <v>74</v>
      </c>
      <c r="L310" t="s">
        <v>74</v>
      </c>
      <c r="M310" t="s">
        <v>77</v>
      </c>
      <c r="N310" t="s">
        <v>120</v>
      </c>
      <c r="O310" t="s">
        <v>74</v>
      </c>
      <c r="P310" t="s">
        <v>74</v>
      </c>
      <c r="Q310" t="s">
        <v>74</v>
      </c>
      <c r="R310" t="s">
        <v>74</v>
      </c>
      <c r="S310" t="s">
        <v>74</v>
      </c>
      <c r="T310" t="s">
        <v>74</v>
      </c>
      <c r="U310" t="s">
        <v>4482</v>
      </c>
      <c r="V310" t="s">
        <v>4483</v>
      </c>
      <c r="W310" t="s">
        <v>4484</v>
      </c>
      <c r="X310" t="s">
        <v>4485</v>
      </c>
      <c r="Y310" t="s">
        <v>4486</v>
      </c>
      <c r="Z310" t="s">
        <v>4487</v>
      </c>
      <c r="AA310" t="s">
        <v>3117</v>
      </c>
      <c r="AB310" t="s">
        <v>3118</v>
      </c>
      <c r="AC310" t="s">
        <v>74</v>
      </c>
      <c r="AD310" t="s">
        <v>74</v>
      </c>
      <c r="AE310" t="s">
        <v>74</v>
      </c>
      <c r="AF310" t="s">
        <v>74</v>
      </c>
      <c r="AG310">
        <v>29</v>
      </c>
      <c r="AH310">
        <v>130</v>
      </c>
      <c r="AI310">
        <v>147</v>
      </c>
      <c r="AJ310">
        <v>2</v>
      </c>
      <c r="AK310">
        <v>20</v>
      </c>
      <c r="AL310" t="s">
        <v>149</v>
      </c>
      <c r="AM310" t="s">
        <v>150</v>
      </c>
      <c r="AN310" t="s">
        <v>151</v>
      </c>
      <c r="AO310" t="s">
        <v>619</v>
      </c>
      <c r="AP310" t="s">
        <v>1094</v>
      </c>
      <c r="AQ310" t="s">
        <v>74</v>
      </c>
      <c r="AR310" t="s">
        <v>620</v>
      </c>
      <c r="AS310" t="s">
        <v>621</v>
      </c>
      <c r="AT310" t="s">
        <v>4488</v>
      </c>
      <c r="AU310">
        <v>2001</v>
      </c>
      <c r="AV310">
        <v>28</v>
      </c>
      <c r="AW310">
        <v>16</v>
      </c>
      <c r="AX310" t="s">
        <v>74</v>
      </c>
      <c r="AY310" t="s">
        <v>74</v>
      </c>
      <c r="AZ310" t="s">
        <v>74</v>
      </c>
      <c r="BA310" t="s">
        <v>74</v>
      </c>
      <c r="BB310">
        <v>3199</v>
      </c>
      <c r="BC310">
        <v>3202</v>
      </c>
      <c r="BD310" t="s">
        <v>74</v>
      </c>
      <c r="BE310" t="s">
        <v>4489</v>
      </c>
      <c r="BF310" t="str">
        <f>HYPERLINK("http://dx.doi.org/10.1029/2000GL012243","http://dx.doi.org/10.1029/2000GL012243")</f>
        <v>http://dx.doi.org/10.1029/2000GL012243</v>
      </c>
      <c r="BG310" t="s">
        <v>74</v>
      </c>
      <c r="BH310" t="s">
        <v>74</v>
      </c>
      <c r="BI310">
        <v>4</v>
      </c>
      <c r="BJ310" t="s">
        <v>300</v>
      </c>
      <c r="BK310" t="s">
        <v>88</v>
      </c>
      <c r="BL310" t="s">
        <v>113</v>
      </c>
      <c r="BM310" t="s">
        <v>4490</v>
      </c>
      <c r="BN310" t="s">
        <v>74</v>
      </c>
      <c r="BO310" t="s">
        <v>563</v>
      </c>
      <c r="BP310" t="s">
        <v>74</v>
      </c>
      <c r="BQ310" t="s">
        <v>74</v>
      </c>
      <c r="BR310" t="s">
        <v>91</v>
      </c>
      <c r="BS310" t="s">
        <v>4491</v>
      </c>
      <c r="BT310" t="str">
        <f>HYPERLINK("https%3A%2F%2Fwww.webofscience.com%2Fwos%2Fwoscc%2Ffull-record%2FWOS:000170348100036","View Full Record in Web of Science")</f>
        <v>View Full Record in Web of Science</v>
      </c>
    </row>
    <row r="311" spans="1:72" x14ac:dyDescent="0.15">
      <c r="A311" t="s">
        <v>72</v>
      </c>
      <c r="B311" t="s">
        <v>4492</v>
      </c>
      <c r="C311" t="s">
        <v>74</v>
      </c>
      <c r="D311" t="s">
        <v>74</v>
      </c>
      <c r="E311" t="s">
        <v>74</v>
      </c>
      <c r="F311" t="s">
        <v>4492</v>
      </c>
      <c r="G311" t="s">
        <v>74</v>
      </c>
      <c r="H311" t="s">
        <v>74</v>
      </c>
      <c r="I311" t="s">
        <v>4493</v>
      </c>
      <c r="J311" t="s">
        <v>655</v>
      </c>
      <c r="K311" t="s">
        <v>74</v>
      </c>
      <c r="L311" t="s">
        <v>74</v>
      </c>
      <c r="M311" t="s">
        <v>77</v>
      </c>
      <c r="N311" t="s">
        <v>120</v>
      </c>
      <c r="O311" t="s">
        <v>74</v>
      </c>
      <c r="P311" t="s">
        <v>74</v>
      </c>
      <c r="Q311" t="s">
        <v>74</v>
      </c>
      <c r="R311" t="s">
        <v>74</v>
      </c>
      <c r="S311" t="s">
        <v>74</v>
      </c>
      <c r="T311" t="s">
        <v>74</v>
      </c>
      <c r="U311" t="s">
        <v>4494</v>
      </c>
      <c r="V311" t="s">
        <v>4495</v>
      </c>
      <c r="W311" t="s">
        <v>4496</v>
      </c>
      <c r="X311" t="s">
        <v>4497</v>
      </c>
      <c r="Y311" t="s">
        <v>4498</v>
      </c>
      <c r="Z311" t="s">
        <v>4499</v>
      </c>
      <c r="AA311" t="s">
        <v>4500</v>
      </c>
      <c r="AB311" t="s">
        <v>4501</v>
      </c>
      <c r="AC311" t="s">
        <v>74</v>
      </c>
      <c r="AD311" t="s">
        <v>74</v>
      </c>
      <c r="AE311" t="s">
        <v>74</v>
      </c>
      <c r="AF311" t="s">
        <v>74</v>
      </c>
      <c r="AG311">
        <v>66</v>
      </c>
      <c r="AH311">
        <v>51</v>
      </c>
      <c r="AI311">
        <v>61</v>
      </c>
      <c r="AJ311">
        <v>0</v>
      </c>
      <c r="AK311">
        <v>14</v>
      </c>
      <c r="AL311" t="s">
        <v>149</v>
      </c>
      <c r="AM311" t="s">
        <v>150</v>
      </c>
      <c r="AN311" t="s">
        <v>151</v>
      </c>
      <c r="AO311" t="s">
        <v>662</v>
      </c>
      <c r="AP311" t="s">
        <v>663</v>
      </c>
      <c r="AQ311" t="s">
        <v>74</v>
      </c>
      <c r="AR311" t="s">
        <v>664</v>
      </c>
      <c r="AS311" t="s">
        <v>665</v>
      </c>
      <c r="AT311" t="s">
        <v>4488</v>
      </c>
      <c r="AU311">
        <v>2001</v>
      </c>
      <c r="AV311">
        <v>106</v>
      </c>
      <c r="AW311" t="s">
        <v>4502</v>
      </c>
      <c r="AX311" t="s">
        <v>74</v>
      </c>
      <c r="AY311" t="s">
        <v>74</v>
      </c>
      <c r="AZ311" t="s">
        <v>74</v>
      </c>
      <c r="BA311" t="s">
        <v>74</v>
      </c>
      <c r="BB311">
        <v>16747</v>
      </c>
      <c r="BC311">
        <v>16765</v>
      </c>
      <c r="BD311" t="s">
        <v>74</v>
      </c>
      <c r="BE311" t="s">
        <v>4503</v>
      </c>
      <c r="BF311" t="str">
        <f>HYPERLINK("http://dx.doi.org/10.1029/2000JC000594","http://dx.doi.org/10.1029/2000JC000594")</f>
        <v>http://dx.doi.org/10.1029/2000JC000594</v>
      </c>
      <c r="BG311" t="s">
        <v>74</v>
      </c>
      <c r="BH311" t="s">
        <v>74</v>
      </c>
      <c r="BI311">
        <v>19</v>
      </c>
      <c r="BJ311" t="s">
        <v>668</v>
      </c>
      <c r="BK311" t="s">
        <v>88</v>
      </c>
      <c r="BL311" t="s">
        <v>668</v>
      </c>
      <c r="BM311" t="s">
        <v>4504</v>
      </c>
      <c r="BN311" t="s">
        <v>74</v>
      </c>
      <c r="BO311" t="s">
        <v>74</v>
      </c>
      <c r="BP311" t="s">
        <v>74</v>
      </c>
      <c r="BQ311" t="s">
        <v>74</v>
      </c>
      <c r="BR311" t="s">
        <v>91</v>
      </c>
      <c r="BS311" t="s">
        <v>4505</v>
      </c>
      <c r="BT311" t="str">
        <f>HYPERLINK("https%3A%2F%2Fwww.webofscience.com%2Fwos%2Fwoscc%2Ffull-record%2FWOS:000170326000010","View Full Record in Web of Science")</f>
        <v>View Full Record in Web of Science</v>
      </c>
    </row>
    <row r="312" spans="1:72" x14ac:dyDescent="0.15">
      <c r="A312" t="s">
        <v>72</v>
      </c>
      <c r="B312" t="s">
        <v>2373</v>
      </c>
      <c r="C312" t="s">
        <v>74</v>
      </c>
      <c r="D312" t="s">
        <v>74</v>
      </c>
      <c r="E312" t="s">
        <v>74</v>
      </c>
      <c r="F312" t="s">
        <v>2373</v>
      </c>
      <c r="G312" t="s">
        <v>74</v>
      </c>
      <c r="H312" t="s">
        <v>74</v>
      </c>
      <c r="I312" t="s">
        <v>4506</v>
      </c>
      <c r="J312" t="s">
        <v>655</v>
      </c>
      <c r="K312" t="s">
        <v>74</v>
      </c>
      <c r="L312" t="s">
        <v>74</v>
      </c>
      <c r="M312" t="s">
        <v>77</v>
      </c>
      <c r="N312" t="s">
        <v>120</v>
      </c>
      <c r="O312" t="s">
        <v>74</v>
      </c>
      <c r="P312" t="s">
        <v>74</v>
      </c>
      <c r="Q312" t="s">
        <v>74</v>
      </c>
      <c r="R312" t="s">
        <v>74</v>
      </c>
      <c r="S312" t="s">
        <v>74</v>
      </c>
      <c r="T312" t="s">
        <v>74</v>
      </c>
      <c r="U312" t="s">
        <v>4507</v>
      </c>
      <c r="V312" t="s">
        <v>4508</v>
      </c>
      <c r="W312" t="s">
        <v>4509</v>
      </c>
      <c r="X312" t="s">
        <v>3997</v>
      </c>
      <c r="Y312" t="s">
        <v>4510</v>
      </c>
      <c r="Z312" t="s">
        <v>4511</v>
      </c>
      <c r="AA312" t="s">
        <v>2379</v>
      </c>
      <c r="AB312" t="s">
        <v>74</v>
      </c>
      <c r="AC312" t="s">
        <v>74</v>
      </c>
      <c r="AD312" t="s">
        <v>74</v>
      </c>
      <c r="AE312" t="s">
        <v>74</v>
      </c>
      <c r="AF312" t="s">
        <v>74</v>
      </c>
      <c r="AG312">
        <v>32</v>
      </c>
      <c r="AH312">
        <v>38</v>
      </c>
      <c r="AI312">
        <v>39</v>
      </c>
      <c r="AJ312">
        <v>0</v>
      </c>
      <c r="AK312">
        <v>7</v>
      </c>
      <c r="AL312" t="s">
        <v>149</v>
      </c>
      <c r="AM312" t="s">
        <v>150</v>
      </c>
      <c r="AN312" t="s">
        <v>151</v>
      </c>
      <c r="AO312" t="s">
        <v>662</v>
      </c>
      <c r="AP312" t="s">
        <v>663</v>
      </c>
      <c r="AQ312" t="s">
        <v>74</v>
      </c>
      <c r="AR312" t="s">
        <v>664</v>
      </c>
      <c r="AS312" t="s">
        <v>665</v>
      </c>
      <c r="AT312" t="s">
        <v>4488</v>
      </c>
      <c r="AU312">
        <v>2001</v>
      </c>
      <c r="AV312">
        <v>106</v>
      </c>
      <c r="AW312" t="s">
        <v>4502</v>
      </c>
      <c r="AX312" t="s">
        <v>74</v>
      </c>
      <c r="AY312" t="s">
        <v>74</v>
      </c>
      <c r="AZ312" t="s">
        <v>74</v>
      </c>
      <c r="BA312" t="s">
        <v>74</v>
      </c>
      <c r="BB312">
        <v>16767</v>
      </c>
      <c r="BC312">
        <v>16782</v>
      </c>
      <c r="BD312" t="s">
        <v>74</v>
      </c>
      <c r="BE312" t="s">
        <v>4512</v>
      </c>
      <c r="BF312" t="str">
        <f>HYPERLINK("http://dx.doi.org/10.1029/2000JC000399","http://dx.doi.org/10.1029/2000JC000399")</f>
        <v>http://dx.doi.org/10.1029/2000JC000399</v>
      </c>
      <c r="BG312" t="s">
        <v>74</v>
      </c>
      <c r="BH312" t="s">
        <v>74</v>
      </c>
      <c r="BI312">
        <v>16</v>
      </c>
      <c r="BJ312" t="s">
        <v>668</v>
      </c>
      <c r="BK312" t="s">
        <v>88</v>
      </c>
      <c r="BL312" t="s">
        <v>668</v>
      </c>
      <c r="BM312" t="s">
        <v>4504</v>
      </c>
      <c r="BN312" t="s">
        <v>74</v>
      </c>
      <c r="BO312" t="s">
        <v>74</v>
      </c>
      <c r="BP312" t="s">
        <v>74</v>
      </c>
      <c r="BQ312" t="s">
        <v>74</v>
      </c>
      <c r="BR312" t="s">
        <v>91</v>
      </c>
      <c r="BS312" t="s">
        <v>4513</v>
      </c>
      <c r="BT312" t="str">
        <f>HYPERLINK("https%3A%2F%2Fwww.webofscience.com%2Fwos%2Fwoscc%2Ffull-record%2FWOS:000170326000011","View Full Record in Web of Science")</f>
        <v>View Full Record in Web of Science</v>
      </c>
    </row>
    <row r="313" spans="1:72" x14ac:dyDescent="0.15">
      <c r="A313" t="s">
        <v>72</v>
      </c>
      <c r="B313" t="s">
        <v>4514</v>
      </c>
      <c r="C313" t="s">
        <v>74</v>
      </c>
      <c r="D313" t="s">
        <v>74</v>
      </c>
      <c r="E313" t="s">
        <v>74</v>
      </c>
      <c r="F313" t="s">
        <v>4514</v>
      </c>
      <c r="G313" t="s">
        <v>74</v>
      </c>
      <c r="H313" t="s">
        <v>74</v>
      </c>
      <c r="I313" t="s">
        <v>4515</v>
      </c>
      <c r="J313" t="s">
        <v>655</v>
      </c>
      <c r="K313" t="s">
        <v>74</v>
      </c>
      <c r="L313" t="s">
        <v>74</v>
      </c>
      <c r="M313" t="s">
        <v>77</v>
      </c>
      <c r="N313" t="s">
        <v>120</v>
      </c>
      <c r="O313" t="s">
        <v>74</v>
      </c>
      <c r="P313" t="s">
        <v>74</v>
      </c>
      <c r="Q313" t="s">
        <v>74</v>
      </c>
      <c r="R313" t="s">
        <v>74</v>
      </c>
      <c r="S313" t="s">
        <v>74</v>
      </c>
      <c r="T313" t="s">
        <v>74</v>
      </c>
      <c r="U313" t="s">
        <v>4516</v>
      </c>
      <c r="V313" t="s">
        <v>4517</v>
      </c>
      <c r="W313" t="s">
        <v>4518</v>
      </c>
      <c r="X313" t="s">
        <v>4519</v>
      </c>
      <c r="Y313" t="s">
        <v>4520</v>
      </c>
      <c r="Z313" t="s">
        <v>4521</v>
      </c>
      <c r="AA313" t="s">
        <v>4522</v>
      </c>
      <c r="AB313" t="s">
        <v>4523</v>
      </c>
      <c r="AC313" t="s">
        <v>74</v>
      </c>
      <c r="AD313" t="s">
        <v>74</v>
      </c>
      <c r="AE313" t="s">
        <v>74</v>
      </c>
      <c r="AF313" t="s">
        <v>74</v>
      </c>
      <c r="AG313">
        <v>27</v>
      </c>
      <c r="AH313">
        <v>9</v>
      </c>
      <c r="AI313">
        <v>9</v>
      </c>
      <c r="AJ313">
        <v>0</v>
      </c>
      <c r="AK313">
        <v>2</v>
      </c>
      <c r="AL313" t="s">
        <v>149</v>
      </c>
      <c r="AM313" t="s">
        <v>150</v>
      </c>
      <c r="AN313" t="s">
        <v>151</v>
      </c>
      <c r="AO313" t="s">
        <v>662</v>
      </c>
      <c r="AP313" t="s">
        <v>663</v>
      </c>
      <c r="AQ313" t="s">
        <v>74</v>
      </c>
      <c r="AR313" t="s">
        <v>664</v>
      </c>
      <c r="AS313" t="s">
        <v>665</v>
      </c>
      <c r="AT313" t="s">
        <v>4488</v>
      </c>
      <c r="AU313">
        <v>2001</v>
      </c>
      <c r="AV313">
        <v>106</v>
      </c>
      <c r="AW313" t="s">
        <v>4502</v>
      </c>
      <c r="AX313" t="s">
        <v>74</v>
      </c>
      <c r="AY313" t="s">
        <v>74</v>
      </c>
      <c r="AZ313" t="s">
        <v>74</v>
      </c>
      <c r="BA313" t="s">
        <v>74</v>
      </c>
      <c r="BB313">
        <v>16857</v>
      </c>
      <c r="BC313">
        <v>16867</v>
      </c>
      <c r="BD313" t="s">
        <v>74</v>
      </c>
      <c r="BE313" t="s">
        <v>4524</v>
      </c>
      <c r="BF313" t="str">
        <f>HYPERLINK("http://dx.doi.org/10.1029/2000JC000519","http://dx.doi.org/10.1029/2000JC000519")</f>
        <v>http://dx.doi.org/10.1029/2000JC000519</v>
      </c>
      <c r="BG313" t="s">
        <v>74</v>
      </c>
      <c r="BH313" t="s">
        <v>74</v>
      </c>
      <c r="BI313">
        <v>11</v>
      </c>
      <c r="BJ313" t="s">
        <v>668</v>
      </c>
      <c r="BK313" t="s">
        <v>88</v>
      </c>
      <c r="BL313" t="s">
        <v>668</v>
      </c>
      <c r="BM313" t="s">
        <v>4504</v>
      </c>
      <c r="BN313" t="s">
        <v>74</v>
      </c>
      <c r="BO313" t="s">
        <v>74</v>
      </c>
      <c r="BP313" t="s">
        <v>74</v>
      </c>
      <c r="BQ313" t="s">
        <v>74</v>
      </c>
      <c r="BR313" t="s">
        <v>91</v>
      </c>
      <c r="BS313" t="s">
        <v>4525</v>
      </c>
      <c r="BT313" t="str">
        <f>HYPERLINK("https%3A%2F%2Fwww.webofscience.com%2Fwos%2Fwoscc%2Ffull-record%2FWOS:000170326000018","View Full Record in Web of Science")</f>
        <v>View Full Record in Web of Science</v>
      </c>
    </row>
    <row r="314" spans="1:72" x14ac:dyDescent="0.15">
      <c r="A314" t="s">
        <v>72</v>
      </c>
      <c r="B314" t="s">
        <v>4526</v>
      </c>
      <c r="C314" t="s">
        <v>74</v>
      </c>
      <c r="D314" t="s">
        <v>74</v>
      </c>
      <c r="E314" t="s">
        <v>74</v>
      </c>
      <c r="F314" t="s">
        <v>4526</v>
      </c>
      <c r="G314" t="s">
        <v>74</v>
      </c>
      <c r="H314" t="s">
        <v>74</v>
      </c>
      <c r="I314" t="s">
        <v>4527</v>
      </c>
      <c r="J314" t="s">
        <v>3090</v>
      </c>
      <c r="K314" t="s">
        <v>74</v>
      </c>
      <c r="L314" t="s">
        <v>74</v>
      </c>
      <c r="M314" t="s">
        <v>77</v>
      </c>
      <c r="N314" t="s">
        <v>120</v>
      </c>
      <c r="O314" t="s">
        <v>74</v>
      </c>
      <c r="P314" t="s">
        <v>74</v>
      </c>
      <c r="Q314" t="s">
        <v>74</v>
      </c>
      <c r="R314" t="s">
        <v>74</v>
      </c>
      <c r="S314" t="s">
        <v>74</v>
      </c>
      <c r="T314" t="s">
        <v>4528</v>
      </c>
      <c r="U314" t="s">
        <v>4529</v>
      </c>
      <c r="V314" t="s">
        <v>4530</v>
      </c>
      <c r="W314" t="s">
        <v>4531</v>
      </c>
      <c r="X314" t="s">
        <v>4532</v>
      </c>
      <c r="Y314" t="s">
        <v>4533</v>
      </c>
      <c r="Z314" t="s">
        <v>74</v>
      </c>
      <c r="AA314" t="s">
        <v>4534</v>
      </c>
      <c r="AB314" t="s">
        <v>4535</v>
      </c>
      <c r="AC314" t="s">
        <v>74</v>
      </c>
      <c r="AD314" t="s">
        <v>74</v>
      </c>
      <c r="AE314" t="s">
        <v>74</v>
      </c>
      <c r="AF314" t="s">
        <v>74</v>
      </c>
      <c r="AG314">
        <v>50</v>
      </c>
      <c r="AH314">
        <v>134</v>
      </c>
      <c r="AI314">
        <v>147</v>
      </c>
      <c r="AJ314">
        <v>0</v>
      </c>
      <c r="AK314">
        <v>27</v>
      </c>
      <c r="AL314" t="s">
        <v>488</v>
      </c>
      <c r="AM314" t="s">
        <v>350</v>
      </c>
      <c r="AN314" t="s">
        <v>489</v>
      </c>
      <c r="AO314" t="s">
        <v>3101</v>
      </c>
      <c r="AP314" t="s">
        <v>74</v>
      </c>
      <c r="AQ314" t="s">
        <v>74</v>
      </c>
      <c r="AR314" t="s">
        <v>3103</v>
      </c>
      <c r="AS314" t="s">
        <v>3104</v>
      </c>
      <c r="AT314" t="s">
        <v>4488</v>
      </c>
      <c r="AU314">
        <v>2001</v>
      </c>
      <c r="AV314">
        <v>178</v>
      </c>
      <c r="AW314" t="s">
        <v>4536</v>
      </c>
      <c r="AX314" t="s">
        <v>74</v>
      </c>
      <c r="AY314" t="s">
        <v>74</v>
      </c>
      <c r="AZ314" t="s">
        <v>74</v>
      </c>
      <c r="BA314" t="s">
        <v>74</v>
      </c>
      <c r="BB314">
        <v>63</v>
      </c>
      <c r="BC314">
        <v>80</v>
      </c>
      <c r="BD314" t="s">
        <v>74</v>
      </c>
      <c r="BE314" t="s">
        <v>4537</v>
      </c>
      <c r="BF314" t="str">
        <f>HYPERLINK("http://dx.doi.org/10.1016/S0025-3227(01)00175-X","http://dx.doi.org/10.1016/S0025-3227(01)00175-X")</f>
        <v>http://dx.doi.org/10.1016/S0025-3227(01)00175-X</v>
      </c>
      <c r="BG314" t="s">
        <v>74</v>
      </c>
      <c r="BH314" t="s">
        <v>74</v>
      </c>
      <c r="BI314">
        <v>18</v>
      </c>
      <c r="BJ314" t="s">
        <v>3106</v>
      </c>
      <c r="BK314" t="s">
        <v>88</v>
      </c>
      <c r="BL314" t="s">
        <v>3107</v>
      </c>
      <c r="BM314" t="s">
        <v>4538</v>
      </c>
      <c r="BN314" t="s">
        <v>74</v>
      </c>
      <c r="BO314" t="s">
        <v>74</v>
      </c>
      <c r="BP314" t="s">
        <v>74</v>
      </c>
      <c r="BQ314" t="s">
        <v>74</v>
      </c>
      <c r="BR314" t="s">
        <v>91</v>
      </c>
      <c r="BS314" t="s">
        <v>4539</v>
      </c>
      <c r="BT314" t="str">
        <f>HYPERLINK("https%3A%2F%2Fwww.webofscience.com%2Fwos%2Fwoscc%2Ffull-record%2FWOS:000170875100004","View Full Record in Web of Science")</f>
        <v>View Full Record in Web of Science</v>
      </c>
    </row>
    <row r="315" spans="1:72" x14ac:dyDescent="0.15">
      <c r="A315" t="s">
        <v>72</v>
      </c>
      <c r="B315" t="s">
        <v>4540</v>
      </c>
      <c r="C315" t="s">
        <v>74</v>
      </c>
      <c r="D315" t="s">
        <v>74</v>
      </c>
      <c r="E315" t="s">
        <v>74</v>
      </c>
      <c r="F315" t="s">
        <v>4540</v>
      </c>
      <c r="G315" t="s">
        <v>74</v>
      </c>
      <c r="H315" t="s">
        <v>74</v>
      </c>
      <c r="I315" t="s">
        <v>4541</v>
      </c>
      <c r="J315" t="s">
        <v>3090</v>
      </c>
      <c r="K315" t="s">
        <v>74</v>
      </c>
      <c r="L315" t="s">
        <v>74</v>
      </c>
      <c r="M315" t="s">
        <v>77</v>
      </c>
      <c r="N315" t="s">
        <v>120</v>
      </c>
      <c r="O315" t="s">
        <v>74</v>
      </c>
      <c r="P315" t="s">
        <v>74</v>
      </c>
      <c r="Q315" t="s">
        <v>74</v>
      </c>
      <c r="R315" t="s">
        <v>74</v>
      </c>
      <c r="S315" t="s">
        <v>74</v>
      </c>
      <c r="T315" t="s">
        <v>4542</v>
      </c>
      <c r="U315" t="s">
        <v>4543</v>
      </c>
      <c r="V315" t="s">
        <v>4544</v>
      </c>
      <c r="W315" t="s">
        <v>4545</v>
      </c>
      <c r="X315" t="s">
        <v>4546</v>
      </c>
      <c r="Y315" t="s">
        <v>4547</v>
      </c>
      <c r="Z315" t="s">
        <v>74</v>
      </c>
      <c r="AA315" t="s">
        <v>4548</v>
      </c>
      <c r="AB315" t="s">
        <v>4549</v>
      </c>
      <c r="AC315" t="s">
        <v>74</v>
      </c>
      <c r="AD315" t="s">
        <v>74</v>
      </c>
      <c r="AE315" t="s">
        <v>74</v>
      </c>
      <c r="AF315" t="s">
        <v>74</v>
      </c>
      <c r="AG315">
        <v>68</v>
      </c>
      <c r="AH315">
        <v>26</v>
      </c>
      <c r="AI315">
        <v>26</v>
      </c>
      <c r="AJ315">
        <v>0</v>
      </c>
      <c r="AK315">
        <v>7</v>
      </c>
      <c r="AL315" t="s">
        <v>488</v>
      </c>
      <c r="AM315" t="s">
        <v>350</v>
      </c>
      <c r="AN315" t="s">
        <v>489</v>
      </c>
      <c r="AO315" t="s">
        <v>3101</v>
      </c>
      <c r="AP315" t="s">
        <v>74</v>
      </c>
      <c r="AQ315" t="s">
        <v>74</v>
      </c>
      <c r="AR315" t="s">
        <v>3103</v>
      </c>
      <c r="AS315" t="s">
        <v>3104</v>
      </c>
      <c r="AT315" t="s">
        <v>4488</v>
      </c>
      <c r="AU315">
        <v>2001</v>
      </c>
      <c r="AV315">
        <v>178</v>
      </c>
      <c r="AW315" t="s">
        <v>4536</v>
      </c>
      <c r="AX315" t="s">
        <v>74</v>
      </c>
      <c r="AY315" t="s">
        <v>74</v>
      </c>
      <c r="AZ315" t="s">
        <v>74</v>
      </c>
      <c r="BA315" t="s">
        <v>74</v>
      </c>
      <c r="BB315">
        <v>135</v>
      </c>
      <c r="BC315">
        <v>156</v>
      </c>
      <c r="BD315" t="s">
        <v>74</v>
      </c>
      <c r="BE315" t="s">
        <v>4550</v>
      </c>
      <c r="BF315" t="str">
        <f>HYPERLINK("http://dx.doi.org/10.1016/S0025-3227(01)00184-0","http://dx.doi.org/10.1016/S0025-3227(01)00184-0")</f>
        <v>http://dx.doi.org/10.1016/S0025-3227(01)00184-0</v>
      </c>
      <c r="BG315" t="s">
        <v>74</v>
      </c>
      <c r="BH315" t="s">
        <v>74</v>
      </c>
      <c r="BI315">
        <v>22</v>
      </c>
      <c r="BJ315" t="s">
        <v>3106</v>
      </c>
      <c r="BK315" t="s">
        <v>88</v>
      </c>
      <c r="BL315" t="s">
        <v>3107</v>
      </c>
      <c r="BM315" t="s">
        <v>4538</v>
      </c>
      <c r="BN315" t="s">
        <v>74</v>
      </c>
      <c r="BO315" t="s">
        <v>74</v>
      </c>
      <c r="BP315" t="s">
        <v>74</v>
      </c>
      <c r="BQ315" t="s">
        <v>74</v>
      </c>
      <c r="BR315" t="s">
        <v>91</v>
      </c>
      <c r="BS315" t="s">
        <v>4551</v>
      </c>
      <c r="BT315" t="str">
        <f>HYPERLINK("https%3A%2F%2Fwww.webofscience.com%2Fwos%2Fwoscc%2Ffull-record%2FWOS:000170875100008","View Full Record in Web of Science")</f>
        <v>View Full Record in Web of Science</v>
      </c>
    </row>
    <row r="316" spans="1:72" x14ac:dyDescent="0.15">
      <c r="A316" t="s">
        <v>72</v>
      </c>
      <c r="B316" t="s">
        <v>4552</v>
      </c>
      <c r="C316" t="s">
        <v>74</v>
      </c>
      <c r="D316" t="s">
        <v>74</v>
      </c>
      <c r="E316" t="s">
        <v>74</v>
      </c>
      <c r="F316" t="s">
        <v>4552</v>
      </c>
      <c r="G316" t="s">
        <v>74</v>
      </c>
      <c r="H316" t="s">
        <v>74</v>
      </c>
      <c r="I316" t="s">
        <v>4553</v>
      </c>
      <c r="J316" t="s">
        <v>4554</v>
      </c>
      <c r="K316" t="s">
        <v>74</v>
      </c>
      <c r="L316" t="s">
        <v>74</v>
      </c>
      <c r="M316" t="s">
        <v>77</v>
      </c>
      <c r="N316" t="s">
        <v>120</v>
      </c>
      <c r="O316" t="s">
        <v>74</v>
      </c>
      <c r="P316" t="s">
        <v>74</v>
      </c>
      <c r="Q316" t="s">
        <v>74</v>
      </c>
      <c r="R316" t="s">
        <v>74</v>
      </c>
      <c r="S316" t="s">
        <v>74</v>
      </c>
      <c r="T316" t="s">
        <v>4555</v>
      </c>
      <c r="U316" t="s">
        <v>4556</v>
      </c>
      <c r="V316" t="s">
        <v>4557</v>
      </c>
      <c r="W316" t="s">
        <v>4558</v>
      </c>
      <c r="X316" t="s">
        <v>4559</v>
      </c>
      <c r="Y316" t="s">
        <v>4560</v>
      </c>
      <c r="Z316" t="s">
        <v>74</v>
      </c>
      <c r="AA316" t="s">
        <v>4561</v>
      </c>
      <c r="AB316" t="s">
        <v>4562</v>
      </c>
      <c r="AC316" t="s">
        <v>74</v>
      </c>
      <c r="AD316" t="s">
        <v>74</v>
      </c>
      <c r="AE316" t="s">
        <v>74</v>
      </c>
      <c r="AF316" t="s">
        <v>74</v>
      </c>
      <c r="AG316">
        <v>89</v>
      </c>
      <c r="AH316">
        <v>18</v>
      </c>
      <c r="AI316">
        <v>21</v>
      </c>
      <c r="AJ316">
        <v>0</v>
      </c>
      <c r="AK316">
        <v>6</v>
      </c>
      <c r="AL316" t="s">
        <v>488</v>
      </c>
      <c r="AM316" t="s">
        <v>350</v>
      </c>
      <c r="AN316" t="s">
        <v>489</v>
      </c>
      <c r="AO316" t="s">
        <v>4563</v>
      </c>
      <c r="AP316" t="s">
        <v>74</v>
      </c>
      <c r="AQ316" t="s">
        <v>74</v>
      </c>
      <c r="AR316" t="s">
        <v>4564</v>
      </c>
      <c r="AS316" t="s">
        <v>4565</v>
      </c>
      <c r="AT316" t="s">
        <v>4488</v>
      </c>
      <c r="AU316">
        <v>2001</v>
      </c>
      <c r="AV316">
        <v>172</v>
      </c>
      <c r="AW316" t="s">
        <v>451</v>
      </c>
      <c r="AX316" t="s">
        <v>74</v>
      </c>
      <c r="AY316" t="s">
        <v>74</v>
      </c>
      <c r="AZ316" t="s">
        <v>74</v>
      </c>
      <c r="BA316" t="s">
        <v>74</v>
      </c>
      <c r="BB316">
        <v>297</v>
      </c>
      <c r="BC316">
        <v>312</v>
      </c>
      <c r="BD316" t="s">
        <v>74</v>
      </c>
      <c r="BE316" t="s">
        <v>4566</v>
      </c>
      <c r="BF316" t="str">
        <f>HYPERLINK("http://dx.doi.org/10.1016/S0031-0182(01)00304-2","http://dx.doi.org/10.1016/S0031-0182(01)00304-2")</f>
        <v>http://dx.doi.org/10.1016/S0031-0182(01)00304-2</v>
      </c>
      <c r="BG316" t="s">
        <v>74</v>
      </c>
      <c r="BH316" t="s">
        <v>74</v>
      </c>
      <c r="BI316">
        <v>16</v>
      </c>
      <c r="BJ316" t="s">
        <v>4567</v>
      </c>
      <c r="BK316" t="s">
        <v>88</v>
      </c>
      <c r="BL316" t="s">
        <v>4568</v>
      </c>
      <c r="BM316" t="s">
        <v>4569</v>
      </c>
      <c r="BN316" t="s">
        <v>74</v>
      </c>
      <c r="BO316" t="s">
        <v>74</v>
      </c>
      <c r="BP316" t="s">
        <v>74</v>
      </c>
      <c r="BQ316" t="s">
        <v>74</v>
      </c>
      <c r="BR316" t="s">
        <v>91</v>
      </c>
      <c r="BS316" t="s">
        <v>4570</v>
      </c>
      <c r="BT316" t="str">
        <f>HYPERLINK("https%3A%2F%2Fwww.webofscience.com%2Fwos%2Fwoscc%2Ffull-record%2FWOS:000170679400008","View Full Record in Web of Science")</f>
        <v>View Full Record in Web of Science</v>
      </c>
    </row>
    <row r="317" spans="1:72" x14ac:dyDescent="0.15">
      <c r="A317" t="s">
        <v>72</v>
      </c>
      <c r="B317" t="s">
        <v>4571</v>
      </c>
      <c r="C317" t="s">
        <v>74</v>
      </c>
      <c r="D317" t="s">
        <v>74</v>
      </c>
      <c r="E317" t="s">
        <v>74</v>
      </c>
      <c r="F317" t="s">
        <v>4571</v>
      </c>
      <c r="G317" t="s">
        <v>74</v>
      </c>
      <c r="H317" t="s">
        <v>74</v>
      </c>
      <c r="I317" t="s">
        <v>4572</v>
      </c>
      <c r="J317" t="s">
        <v>4573</v>
      </c>
      <c r="K317" t="s">
        <v>74</v>
      </c>
      <c r="L317" t="s">
        <v>74</v>
      </c>
      <c r="M317" t="s">
        <v>77</v>
      </c>
      <c r="N317" t="s">
        <v>96</v>
      </c>
      <c r="O317" t="s">
        <v>74</v>
      </c>
      <c r="P317" t="s">
        <v>74</v>
      </c>
      <c r="Q317" t="s">
        <v>74</v>
      </c>
      <c r="R317" t="s">
        <v>74</v>
      </c>
      <c r="S317" t="s">
        <v>74</v>
      </c>
      <c r="T317" t="s">
        <v>74</v>
      </c>
      <c r="U317" t="s">
        <v>4574</v>
      </c>
      <c r="V317" t="s">
        <v>4575</v>
      </c>
      <c r="W317" t="s">
        <v>4576</v>
      </c>
      <c r="X317" t="s">
        <v>4577</v>
      </c>
      <c r="Y317" t="s">
        <v>4578</v>
      </c>
      <c r="Z317" t="s">
        <v>4579</v>
      </c>
      <c r="AA317" t="s">
        <v>4580</v>
      </c>
      <c r="AB317" t="s">
        <v>4581</v>
      </c>
      <c r="AC317" t="s">
        <v>74</v>
      </c>
      <c r="AD317" t="s">
        <v>74</v>
      </c>
      <c r="AE317" t="s">
        <v>74</v>
      </c>
      <c r="AF317" t="s">
        <v>74</v>
      </c>
      <c r="AG317">
        <v>125</v>
      </c>
      <c r="AH317">
        <v>18</v>
      </c>
      <c r="AI317">
        <v>24</v>
      </c>
      <c r="AJ317">
        <v>1</v>
      </c>
      <c r="AK317">
        <v>17</v>
      </c>
      <c r="AL317" t="s">
        <v>149</v>
      </c>
      <c r="AM317" t="s">
        <v>150</v>
      </c>
      <c r="AN317" t="s">
        <v>151</v>
      </c>
      <c r="AO317" t="s">
        <v>4582</v>
      </c>
      <c r="AP317" t="s">
        <v>4583</v>
      </c>
      <c r="AQ317" t="s">
        <v>74</v>
      </c>
      <c r="AR317" t="s">
        <v>4584</v>
      </c>
      <c r="AS317" t="s">
        <v>4585</v>
      </c>
      <c r="AT317" t="s">
        <v>4586</v>
      </c>
      <c r="AU317">
        <v>2001</v>
      </c>
      <c r="AV317">
        <v>106</v>
      </c>
      <c r="AW317" t="s">
        <v>4587</v>
      </c>
      <c r="AX317" t="s">
        <v>74</v>
      </c>
      <c r="AY317" t="s">
        <v>74</v>
      </c>
      <c r="AZ317" t="s">
        <v>74</v>
      </c>
      <c r="BA317" t="s">
        <v>74</v>
      </c>
      <c r="BB317">
        <v>16583</v>
      </c>
      <c r="BC317">
        <v>16601</v>
      </c>
      <c r="BD317" t="s">
        <v>74</v>
      </c>
      <c r="BE317" t="s">
        <v>4588</v>
      </c>
      <c r="BF317" t="str">
        <f>HYPERLINK("http://dx.doi.org/10.1029/2001JB000370","http://dx.doi.org/10.1029/2001JB000370")</f>
        <v>http://dx.doi.org/10.1029/2001JB000370</v>
      </c>
      <c r="BG317" t="s">
        <v>74</v>
      </c>
      <c r="BH317" t="s">
        <v>74</v>
      </c>
      <c r="BI317">
        <v>19</v>
      </c>
      <c r="BJ317" t="s">
        <v>388</v>
      </c>
      <c r="BK317" t="s">
        <v>88</v>
      </c>
      <c r="BL317" t="s">
        <v>388</v>
      </c>
      <c r="BM317" t="s">
        <v>4589</v>
      </c>
      <c r="BN317" t="s">
        <v>74</v>
      </c>
      <c r="BO317" t="s">
        <v>171</v>
      </c>
      <c r="BP317" t="s">
        <v>74</v>
      </c>
      <c r="BQ317" t="s">
        <v>74</v>
      </c>
      <c r="BR317" t="s">
        <v>91</v>
      </c>
      <c r="BS317" t="s">
        <v>4590</v>
      </c>
      <c r="BT317" t="str">
        <f>HYPERLINK("https%3A%2F%2Fwww.webofscience.com%2Fwos%2Fwoscc%2Ffull-record%2FWOS:000170365200034","View Full Record in Web of Science")</f>
        <v>View Full Record in Web of Science</v>
      </c>
    </row>
    <row r="318" spans="1:72" x14ac:dyDescent="0.15">
      <c r="A318" t="s">
        <v>72</v>
      </c>
      <c r="B318" t="s">
        <v>4591</v>
      </c>
      <c r="C318" t="s">
        <v>74</v>
      </c>
      <c r="D318" t="s">
        <v>74</v>
      </c>
      <c r="E318" t="s">
        <v>74</v>
      </c>
      <c r="F318" t="s">
        <v>4591</v>
      </c>
      <c r="G318" t="s">
        <v>74</v>
      </c>
      <c r="H318" t="s">
        <v>74</v>
      </c>
      <c r="I318" t="s">
        <v>4592</v>
      </c>
      <c r="J318" t="s">
        <v>695</v>
      </c>
      <c r="K318" t="s">
        <v>74</v>
      </c>
      <c r="L318" t="s">
        <v>74</v>
      </c>
      <c r="M318" t="s">
        <v>77</v>
      </c>
      <c r="N318" t="s">
        <v>120</v>
      </c>
      <c r="O318" t="s">
        <v>74</v>
      </c>
      <c r="P318" t="s">
        <v>74</v>
      </c>
      <c r="Q318" t="s">
        <v>74</v>
      </c>
      <c r="R318" t="s">
        <v>74</v>
      </c>
      <c r="S318" t="s">
        <v>74</v>
      </c>
      <c r="T318" t="s">
        <v>74</v>
      </c>
      <c r="U318" t="s">
        <v>4593</v>
      </c>
      <c r="V318" t="s">
        <v>74</v>
      </c>
      <c r="W318" t="s">
        <v>4594</v>
      </c>
      <c r="X318" t="s">
        <v>4595</v>
      </c>
      <c r="Y318" t="s">
        <v>4596</v>
      </c>
      <c r="Z318" t="s">
        <v>74</v>
      </c>
      <c r="AA318" t="s">
        <v>4597</v>
      </c>
      <c r="AB318" t="s">
        <v>4598</v>
      </c>
      <c r="AC318" t="s">
        <v>74</v>
      </c>
      <c r="AD318" t="s">
        <v>74</v>
      </c>
      <c r="AE318" t="s">
        <v>74</v>
      </c>
      <c r="AF318" t="s">
        <v>74</v>
      </c>
      <c r="AG318">
        <v>13</v>
      </c>
      <c r="AH318">
        <v>23</v>
      </c>
      <c r="AI318">
        <v>25</v>
      </c>
      <c r="AJ318">
        <v>2</v>
      </c>
      <c r="AK318">
        <v>12</v>
      </c>
      <c r="AL318" t="s">
        <v>700</v>
      </c>
      <c r="AM318" t="s">
        <v>683</v>
      </c>
      <c r="AN318" t="s">
        <v>701</v>
      </c>
      <c r="AO318" t="s">
        <v>702</v>
      </c>
      <c r="AP318" t="s">
        <v>74</v>
      </c>
      <c r="AQ318" t="s">
        <v>74</v>
      </c>
      <c r="AR318" t="s">
        <v>695</v>
      </c>
      <c r="AS318" t="s">
        <v>703</v>
      </c>
      <c r="AT318" t="s">
        <v>4599</v>
      </c>
      <c r="AU318">
        <v>2001</v>
      </c>
      <c r="AV318">
        <v>412</v>
      </c>
      <c r="AW318">
        <v>6847</v>
      </c>
      <c r="AX318" t="s">
        <v>74</v>
      </c>
      <c r="AY318" t="s">
        <v>74</v>
      </c>
      <c r="AZ318" t="s">
        <v>74</v>
      </c>
      <c r="BA318" t="s">
        <v>74</v>
      </c>
      <c r="BB318">
        <v>605</v>
      </c>
      <c r="BC318">
        <v>606</v>
      </c>
      <c r="BD318" t="s">
        <v>74</v>
      </c>
      <c r="BE318" t="s">
        <v>4600</v>
      </c>
      <c r="BF318" t="str">
        <f>HYPERLINK("http://dx.doi.org/10.1038/35088129","http://dx.doi.org/10.1038/35088129")</f>
        <v>http://dx.doi.org/10.1038/35088129</v>
      </c>
      <c r="BG318" t="s">
        <v>74</v>
      </c>
      <c r="BH318" t="s">
        <v>74</v>
      </c>
      <c r="BI318">
        <v>2</v>
      </c>
      <c r="BJ318" t="s">
        <v>575</v>
      </c>
      <c r="BK318" t="s">
        <v>88</v>
      </c>
      <c r="BL318" t="s">
        <v>576</v>
      </c>
      <c r="BM318" t="s">
        <v>4601</v>
      </c>
      <c r="BN318">
        <v>11493910</v>
      </c>
      <c r="BO318" t="s">
        <v>74</v>
      </c>
      <c r="BP318" t="s">
        <v>74</v>
      </c>
      <c r="BQ318" t="s">
        <v>74</v>
      </c>
      <c r="BR318" t="s">
        <v>91</v>
      </c>
      <c r="BS318" t="s">
        <v>4602</v>
      </c>
      <c r="BT318" t="str">
        <f>HYPERLINK("https%3A%2F%2Fwww.webofscience.com%2Fwos%2Fwoscc%2Ffull-record%2FWOS:000170318000030","View Full Record in Web of Science")</f>
        <v>View Full Record in Web of Science</v>
      </c>
    </row>
    <row r="319" spans="1:72" x14ac:dyDescent="0.15">
      <c r="A319" t="s">
        <v>72</v>
      </c>
      <c r="B319" t="s">
        <v>4603</v>
      </c>
      <c r="C319" t="s">
        <v>74</v>
      </c>
      <c r="D319" t="s">
        <v>74</v>
      </c>
      <c r="E319" t="s">
        <v>74</v>
      </c>
      <c r="F319" t="s">
        <v>4603</v>
      </c>
      <c r="G319" t="s">
        <v>74</v>
      </c>
      <c r="H319" t="s">
        <v>74</v>
      </c>
      <c r="I319" t="s">
        <v>4604</v>
      </c>
      <c r="J319" t="s">
        <v>695</v>
      </c>
      <c r="K319" t="s">
        <v>74</v>
      </c>
      <c r="L319" t="s">
        <v>74</v>
      </c>
      <c r="M319" t="s">
        <v>77</v>
      </c>
      <c r="N319" t="s">
        <v>414</v>
      </c>
      <c r="O319" t="s">
        <v>74</v>
      </c>
      <c r="P319" t="s">
        <v>74</v>
      </c>
      <c r="Q319" t="s">
        <v>74</v>
      </c>
      <c r="R319" t="s">
        <v>74</v>
      </c>
      <c r="S319" t="s">
        <v>74</v>
      </c>
      <c r="T319" t="s">
        <v>74</v>
      </c>
      <c r="U319" t="s">
        <v>4605</v>
      </c>
      <c r="V319" t="s">
        <v>74</v>
      </c>
      <c r="W319" t="s">
        <v>4606</v>
      </c>
      <c r="X319" t="s">
        <v>4607</v>
      </c>
      <c r="Y319" t="s">
        <v>4608</v>
      </c>
      <c r="Z319" t="s">
        <v>74</v>
      </c>
      <c r="AA319" t="s">
        <v>4609</v>
      </c>
      <c r="AB319" t="s">
        <v>4610</v>
      </c>
      <c r="AC319" t="s">
        <v>74</v>
      </c>
      <c r="AD319" t="s">
        <v>74</v>
      </c>
      <c r="AE319" t="s">
        <v>74</v>
      </c>
      <c r="AF319" t="s">
        <v>74</v>
      </c>
      <c r="AG319">
        <v>10</v>
      </c>
      <c r="AH319">
        <v>14</v>
      </c>
      <c r="AI319">
        <v>18</v>
      </c>
      <c r="AJ319">
        <v>1</v>
      </c>
      <c r="AK319">
        <v>17</v>
      </c>
      <c r="AL319" t="s">
        <v>700</v>
      </c>
      <c r="AM319" t="s">
        <v>683</v>
      </c>
      <c r="AN319" t="s">
        <v>701</v>
      </c>
      <c r="AO319" t="s">
        <v>702</v>
      </c>
      <c r="AP319" t="s">
        <v>74</v>
      </c>
      <c r="AQ319" t="s">
        <v>74</v>
      </c>
      <c r="AR319" t="s">
        <v>695</v>
      </c>
      <c r="AS319" t="s">
        <v>703</v>
      </c>
      <c r="AT319" t="s">
        <v>4599</v>
      </c>
      <c r="AU319">
        <v>2001</v>
      </c>
      <c r="AV319">
        <v>412</v>
      </c>
      <c r="AW319">
        <v>6847</v>
      </c>
      <c r="AX319" t="s">
        <v>74</v>
      </c>
      <c r="AY319" t="s">
        <v>74</v>
      </c>
      <c r="AZ319" t="s">
        <v>74</v>
      </c>
      <c r="BA319" t="s">
        <v>74</v>
      </c>
      <c r="BB319">
        <v>606</v>
      </c>
      <c r="BC319">
        <v>606</v>
      </c>
      <c r="BD319" t="s">
        <v>74</v>
      </c>
      <c r="BE319" t="s">
        <v>4611</v>
      </c>
      <c r="BF319" t="str">
        <f>HYPERLINK("http://dx.doi.org/10.1038/35088132","http://dx.doi.org/10.1038/35088132")</f>
        <v>http://dx.doi.org/10.1038/35088132</v>
      </c>
      <c r="BG319" t="s">
        <v>74</v>
      </c>
      <c r="BH319" t="s">
        <v>74</v>
      </c>
      <c r="BI319">
        <v>1</v>
      </c>
      <c r="BJ319" t="s">
        <v>575</v>
      </c>
      <c r="BK319" t="s">
        <v>88</v>
      </c>
      <c r="BL319" t="s">
        <v>576</v>
      </c>
      <c r="BM319" t="s">
        <v>4601</v>
      </c>
      <c r="BN319" t="s">
        <v>74</v>
      </c>
      <c r="BO319" t="s">
        <v>171</v>
      </c>
      <c r="BP319" t="s">
        <v>74</v>
      </c>
      <c r="BQ319" t="s">
        <v>74</v>
      </c>
      <c r="BR319" t="s">
        <v>91</v>
      </c>
      <c r="BS319" t="s">
        <v>4612</v>
      </c>
      <c r="BT319" t="str">
        <f>HYPERLINK("https%3A%2F%2Fwww.webofscience.com%2Fwos%2Fwoscc%2Ffull-record%2FWOS:000170318000031","View Full Record in Web of Science")</f>
        <v>View Full Record in Web of Science</v>
      </c>
    </row>
    <row r="320" spans="1:72" x14ac:dyDescent="0.15">
      <c r="A320" t="s">
        <v>72</v>
      </c>
      <c r="B320" t="s">
        <v>4613</v>
      </c>
      <c r="C320" t="s">
        <v>74</v>
      </c>
      <c r="D320" t="s">
        <v>74</v>
      </c>
      <c r="E320" t="s">
        <v>74</v>
      </c>
      <c r="F320" t="s">
        <v>4613</v>
      </c>
      <c r="G320" t="s">
        <v>74</v>
      </c>
      <c r="H320" t="s">
        <v>74</v>
      </c>
      <c r="I320" t="s">
        <v>4614</v>
      </c>
      <c r="J320" t="s">
        <v>4615</v>
      </c>
      <c r="K320" t="s">
        <v>74</v>
      </c>
      <c r="L320" t="s">
        <v>74</v>
      </c>
      <c r="M320" t="s">
        <v>77</v>
      </c>
      <c r="N320" t="s">
        <v>96</v>
      </c>
      <c r="O320" t="s">
        <v>74</v>
      </c>
      <c r="P320" t="s">
        <v>74</v>
      </c>
      <c r="Q320" t="s">
        <v>74</v>
      </c>
      <c r="R320" t="s">
        <v>74</v>
      </c>
      <c r="S320" t="s">
        <v>74</v>
      </c>
      <c r="T320" t="s">
        <v>74</v>
      </c>
      <c r="U320" t="s">
        <v>4616</v>
      </c>
      <c r="V320" t="s">
        <v>4617</v>
      </c>
      <c r="W320" t="s">
        <v>4618</v>
      </c>
      <c r="X320" t="s">
        <v>4619</v>
      </c>
      <c r="Y320" t="s">
        <v>4620</v>
      </c>
      <c r="Z320" t="s">
        <v>74</v>
      </c>
      <c r="AA320" t="s">
        <v>4621</v>
      </c>
      <c r="AB320" t="s">
        <v>4622</v>
      </c>
      <c r="AC320" t="s">
        <v>74</v>
      </c>
      <c r="AD320" t="s">
        <v>74</v>
      </c>
      <c r="AE320" t="s">
        <v>74</v>
      </c>
      <c r="AF320" t="s">
        <v>74</v>
      </c>
      <c r="AG320">
        <v>60</v>
      </c>
      <c r="AH320">
        <v>42</v>
      </c>
      <c r="AI320">
        <v>47</v>
      </c>
      <c r="AJ320">
        <v>1</v>
      </c>
      <c r="AK320">
        <v>30</v>
      </c>
      <c r="AL320" t="s">
        <v>508</v>
      </c>
      <c r="AM320" t="s">
        <v>150</v>
      </c>
      <c r="AN320" t="s">
        <v>509</v>
      </c>
      <c r="AO320" t="s">
        <v>4623</v>
      </c>
      <c r="AP320" t="s">
        <v>4624</v>
      </c>
      <c r="AQ320" t="s">
        <v>74</v>
      </c>
      <c r="AR320" t="s">
        <v>4625</v>
      </c>
      <c r="AS320" t="s">
        <v>4626</v>
      </c>
      <c r="AT320" t="s">
        <v>4627</v>
      </c>
      <c r="AU320">
        <v>2001</v>
      </c>
      <c r="AV320">
        <v>34</v>
      </c>
      <c r="AW320">
        <v>8</v>
      </c>
      <c r="AX320" t="s">
        <v>74</v>
      </c>
      <c r="AY320" t="s">
        <v>74</v>
      </c>
      <c r="AZ320" t="s">
        <v>74</v>
      </c>
      <c r="BA320" t="s">
        <v>74</v>
      </c>
      <c r="BB320">
        <v>645</v>
      </c>
      <c r="BC320">
        <v>652</v>
      </c>
      <c r="BD320" t="s">
        <v>74</v>
      </c>
      <c r="BE320" t="s">
        <v>4628</v>
      </c>
      <c r="BF320" t="str">
        <f>HYPERLINK("http://dx.doi.org/10.1021/ar960224f","http://dx.doi.org/10.1021/ar960224f")</f>
        <v>http://dx.doi.org/10.1021/ar960224f</v>
      </c>
      <c r="BG320" t="s">
        <v>74</v>
      </c>
      <c r="BH320" t="s">
        <v>74</v>
      </c>
      <c r="BI320">
        <v>8</v>
      </c>
      <c r="BJ320" t="s">
        <v>1761</v>
      </c>
      <c r="BK320" t="s">
        <v>88</v>
      </c>
      <c r="BL320" t="s">
        <v>517</v>
      </c>
      <c r="BM320" t="s">
        <v>4629</v>
      </c>
      <c r="BN320">
        <v>11513572</v>
      </c>
      <c r="BO320" t="s">
        <v>74</v>
      </c>
      <c r="BP320" t="s">
        <v>74</v>
      </c>
      <c r="BQ320" t="s">
        <v>74</v>
      </c>
      <c r="BR320" t="s">
        <v>91</v>
      </c>
      <c r="BS320" t="s">
        <v>4630</v>
      </c>
      <c r="BT320" t="str">
        <f>HYPERLINK("https%3A%2F%2Fwww.webofscience.com%2Fwos%2Fwoscc%2Ffull-record%2FWOS:000170711300005","View Full Record in Web of Science")</f>
        <v>View Full Record in Web of Science</v>
      </c>
    </row>
    <row r="321" spans="1:72" x14ac:dyDescent="0.15">
      <c r="A321" t="s">
        <v>72</v>
      </c>
      <c r="B321" t="s">
        <v>4631</v>
      </c>
      <c r="C321" t="s">
        <v>74</v>
      </c>
      <c r="D321" t="s">
        <v>74</v>
      </c>
      <c r="E321" t="s">
        <v>74</v>
      </c>
      <c r="F321" t="s">
        <v>4631</v>
      </c>
      <c r="G321" t="s">
        <v>74</v>
      </c>
      <c r="H321" t="s">
        <v>74</v>
      </c>
      <c r="I321" t="s">
        <v>4632</v>
      </c>
      <c r="J321" t="s">
        <v>725</v>
      </c>
      <c r="K321" t="s">
        <v>74</v>
      </c>
      <c r="L321" t="s">
        <v>74</v>
      </c>
      <c r="M321" t="s">
        <v>77</v>
      </c>
      <c r="N321" t="s">
        <v>120</v>
      </c>
      <c r="O321" t="s">
        <v>74</v>
      </c>
      <c r="P321" t="s">
        <v>74</v>
      </c>
      <c r="Q321" t="s">
        <v>74</v>
      </c>
      <c r="R321" t="s">
        <v>74</v>
      </c>
      <c r="S321" t="s">
        <v>74</v>
      </c>
      <c r="T321" t="s">
        <v>74</v>
      </c>
      <c r="U321" t="s">
        <v>4633</v>
      </c>
      <c r="V321" t="s">
        <v>4634</v>
      </c>
      <c r="W321" t="s">
        <v>4635</v>
      </c>
      <c r="X321" t="s">
        <v>4636</v>
      </c>
      <c r="Y321" t="s">
        <v>4637</v>
      </c>
      <c r="Z321" t="s">
        <v>74</v>
      </c>
      <c r="AA321" t="s">
        <v>74</v>
      </c>
      <c r="AB321" t="s">
        <v>74</v>
      </c>
      <c r="AC321" t="s">
        <v>74</v>
      </c>
      <c r="AD321" t="s">
        <v>74</v>
      </c>
      <c r="AE321" t="s">
        <v>74</v>
      </c>
      <c r="AF321" t="s">
        <v>74</v>
      </c>
      <c r="AG321">
        <v>19</v>
      </c>
      <c r="AH321">
        <v>7</v>
      </c>
      <c r="AI321">
        <v>7</v>
      </c>
      <c r="AJ321">
        <v>0</v>
      </c>
      <c r="AK321">
        <v>1</v>
      </c>
      <c r="AL321" t="s">
        <v>731</v>
      </c>
      <c r="AM321" t="s">
        <v>732</v>
      </c>
      <c r="AN321" t="s">
        <v>733</v>
      </c>
      <c r="AO321" t="s">
        <v>734</v>
      </c>
      <c r="AP321" t="s">
        <v>74</v>
      </c>
      <c r="AQ321" t="s">
        <v>74</v>
      </c>
      <c r="AR321" t="s">
        <v>735</v>
      </c>
      <c r="AS321" t="s">
        <v>736</v>
      </c>
      <c r="AT321" t="s">
        <v>4627</v>
      </c>
      <c r="AU321">
        <v>2001</v>
      </c>
      <c r="AV321">
        <v>57</v>
      </c>
      <c r="AW321" t="s">
        <v>74</v>
      </c>
      <c r="AX321">
        <v>8</v>
      </c>
      <c r="AY321" t="s">
        <v>74</v>
      </c>
      <c r="AZ321" t="s">
        <v>74</v>
      </c>
      <c r="BA321" t="s">
        <v>74</v>
      </c>
      <c r="BB321">
        <v>1144</v>
      </c>
      <c r="BC321">
        <v>1146</v>
      </c>
      <c r="BD321" t="s">
        <v>74</v>
      </c>
      <c r="BE321" t="s">
        <v>4638</v>
      </c>
      <c r="BF321" t="str">
        <f>HYPERLINK("http://dx.doi.org/10.1107/S0907444901007739","http://dx.doi.org/10.1107/S0907444901007739")</f>
        <v>http://dx.doi.org/10.1107/S0907444901007739</v>
      </c>
      <c r="BG321" t="s">
        <v>74</v>
      </c>
      <c r="BH321" t="s">
        <v>74</v>
      </c>
      <c r="BI321">
        <v>3</v>
      </c>
      <c r="BJ321" t="s">
        <v>739</v>
      </c>
      <c r="BK321" t="s">
        <v>88</v>
      </c>
      <c r="BL321" t="s">
        <v>740</v>
      </c>
      <c r="BM321" t="s">
        <v>4639</v>
      </c>
      <c r="BN321">
        <v>11468400</v>
      </c>
      <c r="BO321" t="s">
        <v>74</v>
      </c>
      <c r="BP321" t="s">
        <v>74</v>
      </c>
      <c r="BQ321" t="s">
        <v>74</v>
      </c>
      <c r="BR321" t="s">
        <v>91</v>
      </c>
      <c r="BS321" t="s">
        <v>4640</v>
      </c>
      <c r="BT321" t="str">
        <f>HYPERLINK("https%3A%2F%2Fwww.webofscience.com%2Fwos%2Fwoscc%2Ffull-record%2FWOS:000170041200013","View Full Record in Web of Science")</f>
        <v>View Full Record in Web of Science</v>
      </c>
    </row>
    <row r="322" spans="1:72" x14ac:dyDescent="0.15">
      <c r="A322" t="s">
        <v>72</v>
      </c>
      <c r="B322" t="s">
        <v>4641</v>
      </c>
      <c r="C322" t="s">
        <v>74</v>
      </c>
      <c r="D322" t="s">
        <v>74</v>
      </c>
      <c r="E322" t="s">
        <v>74</v>
      </c>
      <c r="F322" t="s">
        <v>4641</v>
      </c>
      <c r="G322" t="s">
        <v>74</v>
      </c>
      <c r="H322" t="s">
        <v>74</v>
      </c>
      <c r="I322" t="s">
        <v>4642</v>
      </c>
      <c r="J322" t="s">
        <v>4643</v>
      </c>
      <c r="K322" t="s">
        <v>74</v>
      </c>
      <c r="L322" t="s">
        <v>74</v>
      </c>
      <c r="M322" t="s">
        <v>77</v>
      </c>
      <c r="N322" t="s">
        <v>120</v>
      </c>
      <c r="O322" t="s">
        <v>74</v>
      </c>
      <c r="P322" t="s">
        <v>74</v>
      </c>
      <c r="Q322" t="s">
        <v>74</v>
      </c>
      <c r="R322" t="s">
        <v>74</v>
      </c>
      <c r="S322" t="s">
        <v>74</v>
      </c>
      <c r="T322" t="s">
        <v>4644</v>
      </c>
      <c r="U322" t="s">
        <v>4645</v>
      </c>
      <c r="V322" t="s">
        <v>4646</v>
      </c>
      <c r="W322" t="s">
        <v>4647</v>
      </c>
      <c r="X322" t="s">
        <v>4648</v>
      </c>
      <c r="Y322" t="s">
        <v>74</v>
      </c>
      <c r="Z322" t="s">
        <v>4649</v>
      </c>
      <c r="AA322" t="s">
        <v>1332</v>
      </c>
      <c r="AB322" t="s">
        <v>1333</v>
      </c>
      <c r="AC322" t="s">
        <v>74</v>
      </c>
      <c r="AD322" t="s">
        <v>74</v>
      </c>
      <c r="AE322" t="s">
        <v>74</v>
      </c>
      <c r="AF322" t="s">
        <v>74</v>
      </c>
      <c r="AG322">
        <v>66</v>
      </c>
      <c r="AH322">
        <v>59</v>
      </c>
      <c r="AI322">
        <v>64</v>
      </c>
      <c r="AJ322">
        <v>0</v>
      </c>
      <c r="AK322">
        <v>14</v>
      </c>
      <c r="AL322" t="s">
        <v>4650</v>
      </c>
      <c r="AM322" t="s">
        <v>4651</v>
      </c>
      <c r="AN322" t="s">
        <v>4652</v>
      </c>
      <c r="AO322" t="s">
        <v>4653</v>
      </c>
      <c r="AP322" t="s">
        <v>4654</v>
      </c>
      <c r="AQ322" t="s">
        <v>74</v>
      </c>
      <c r="AR322" t="s">
        <v>4655</v>
      </c>
      <c r="AS322" t="s">
        <v>4656</v>
      </c>
      <c r="AT322" t="s">
        <v>4627</v>
      </c>
      <c r="AU322">
        <v>2001</v>
      </c>
      <c r="AV322">
        <v>40</v>
      </c>
      <c r="AW322">
        <v>3</v>
      </c>
      <c r="AX322" t="s">
        <v>74</v>
      </c>
      <c r="AY322" t="s">
        <v>74</v>
      </c>
      <c r="AZ322" t="s">
        <v>74</v>
      </c>
      <c r="BA322" t="s">
        <v>74</v>
      </c>
      <c r="BB322">
        <v>187</v>
      </c>
      <c r="BC322">
        <v>195</v>
      </c>
      <c r="BD322" t="s">
        <v>74</v>
      </c>
      <c r="BE322" t="s">
        <v>74</v>
      </c>
      <c r="BF322" t="s">
        <v>74</v>
      </c>
      <c r="BG322" t="s">
        <v>74</v>
      </c>
      <c r="BH322" t="s">
        <v>74</v>
      </c>
      <c r="BI322">
        <v>9</v>
      </c>
      <c r="BJ322" t="s">
        <v>1196</v>
      </c>
      <c r="BK322" t="s">
        <v>88</v>
      </c>
      <c r="BL322" t="s">
        <v>1196</v>
      </c>
      <c r="BM322" t="s">
        <v>4657</v>
      </c>
      <c r="BN322" t="s">
        <v>74</v>
      </c>
      <c r="BO322" t="s">
        <v>74</v>
      </c>
      <c r="BP322" t="s">
        <v>74</v>
      </c>
      <c r="BQ322" t="s">
        <v>74</v>
      </c>
      <c r="BR322" t="s">
        <v>91</v>
      </c>
      <c r="BS322" t="s">
        <v>4658</v>
      </c>
      <c r="BT322" t="str">
        <f>HYPERLINK("https%3A%2F%2Fwww.webofscience.com%2Fwos%2Fwoscc%2Ffull-record%2FWOS:000170692600003","View Full Record in Web of Science")</f>
        <v>View Full Record in Web of Science</v>
      </c>
    </row>
    <row r="323" spans="1:72" x14ac:dyDescent="0.15">
      <c r="A323" t="s">
        <v>72</v>
      </c>
      <c r="B323" t="s">
        <v>4659</v>
      </c>
      <c r="C323" t="s">
        <v>74</v>
      </c>
      <c r="D323" t="s">
        <v>74</v>
      </c>
      <c r="E323" t="s">
        <v>74</v>
      </c>
      <c r="F323" t="s">
        <v>4659</v>
      </c>
      <c r="G323" t="s">
        <v>74</v>
      </c>
      <c r="H323" t="s">
        <v>74</v>
      </c>
      <c r="I323" t="s">
        <v>4660</v>
      </c>
      <c r="J323" t="s">
        <v>4661</v>
      </c>
      <c r="K323" t="s">
        <v>74</v>
      </c>
      <c r="L323" t="s">
        <v>74</v>
      </c>
      <c r="M323" t="s">
        <v>77</v>
      </c>
      <c r="N323" t="s">
        <v>120</v>
      </c>
      <c r="O323" t="s">
        <v>74</v>
      </c>
      <c r="P323" t="s">
        <v>74</v>
      </c>
      <c r="Q323" t="s">
        <v>74</v>
      </c>
      <c r="R323" t="s">
        <v>74</v>
      </c>
      <c r="S323" t="s">
        <v>74</v>
      </c>
      <c r="T323" t="s">
        <v>4662</v>
      </c>
      <c r="U323" t="s">
        <v>4663</v>
      </c>
      <c r="V323" t="s">
        <v>4664</v>
      </c>
      <c r="W323" t="s">
        <v>4665</v>
      </c>
      <c r="X323" t="s">
        <v>4666</v>
      </c>
      <c r="Y323" t="s">
        <v>4667</v>
      </c>
      <c r="Z323" t="s">
        <v>74</v>
      </c>
      <c r="AA323" t="s">
        <v>4668</v>
      </c>
      <c r="AB323" t="s">
        <v>4669</v>
      </c>
      <c r="AC323" t="s">
        <v>74</v>
      </c>
      <c r="AD323" t="s">
        <v>74</v>
      </c>
      <c r="AE323" t="s">
        <v>74</v>
      </c>
      <c r="AF323" t="s">
        <v>74</v>
      </c>
      <c r="AG323">
        <v>28</v>
      </c>
      <c r="AH323">
        <v>24</v>
      </c>
      <c r="AI323">
        <v>24</v>
      </c>
      <c r="AJ323">
        <v>0</v>
      </c>
      <c r="AK323">
        <v>6</v>
      </c>
      <c r="AL323" t="s">
        <v>4670</v>
      </c>
      <c r="AM323" t="s">
        <v>4671</v>
      </c>
      <c r="AN323" t="s">
        <v>4672</v>
      </c>
      <c r="AO323" t="s">
        <v>4673</v>
      </c>
      <c r="AP323" t="s">
        <v>74</v>
      </c>
      <c r="AQ323" t="s">
        <v>74</v>
      </c>
      <c r="AR323" t="s">
        <v>4674</v>
      </c>
      <c r="AS323" t="s">
        <v>4675</v>
      </c>
      <c r="AT323" t="s">
        <v>4627</v>
      </c>
      <c r="AU323">
        <v>2001</v>
      </c>
      <c r="AV323">
        <v>44</v>
      </c>
      <c r="AW323">
        <v>4</v>
      </c>
      <c r="AX323" t="s">
        <v>74</v>
      </c>
      <c r="AY323" t="s">
        <v>74</v>
      </c>
      <c r="AZ323" t="s">
        <v>74</v>
      </c>
      <c r="BA323" t="s">
        <v>74</v>
      </c>
      <c r="BB323">
        <v>687</v>
      </c>
      <c r="BC323">
        <v>702</v>
      </c>
      <c r="BD323" t="s">
        <v>74</v>
      </c>
      <c r="BE323" t="s">
        <v>74</v>
      </c>
      <c r="BF323" t="s">
        <v>74</v>
      </c>
      <c r="BG323" t="s">
        <v>74</v>
      </c>
      <c r="BH323" t="s">
        <v>74</v>
      </c>
      <c r="BI323">
        <v>16</v>
      </c>
      <c r="BJ323" t="s">
        <v>388</v>
      </c>
      <c r="BK323" t="s">
        <v>88</v>
      </c>
      <c r="BL323" t="s">
        <v>388</v>
      </c>
      <c r="BM323" t="s">
        <v>4676</v>
      </c>
      <c r="BN323" t="s">
        <v>74</v>
      </c>
      <c r="BO323" t="s">
        <v>74</v>
      </c>
      <c r="BP323" t="s">
        <v>74</v>
      </c>
      <c r="BQ323" t="s">
        <v>74</v>
      </c>
      <c r="BR323" t="s">
        <v>91</v>
      </c>
      <c r="BS323" t="s">
        <v>4677</v>
      </c>
      <c r="BT323" t="str">
        <f>HYPERLINK("https%3A%2F%2Fwww.webofscience.com%2Fwos%2Fwoscc%2Ffull-record%2FWOS:000172582700003","View Full Record in Web of Science")</f>
        <v>View Full Record in Web of Science</v>
      </c>
    </row>
    <row r="324" spans="1:72" x14ac:dyDescent="0.15">
      <c r="A324" t="s">
        <v>72</v>
      </c>
      <c r="B324" t="s">
        <v>4678</v>
      </c>
      <c r="C324" t="s">
        <v>74</v>
      </c>
      <c r="D324" t="s">
        <v>74</v>
      </c>
      <c r="E324" t="s">
        <v>74</v>
      </c>
      <c r="F324" t="s">
        <v>4678</v>
      </c>
      <c r="G324" t="s">
        <v>74</v>
      </c>
      <c r="H324" t="s">
        <v>74</v>
      </c>
      <c r="I324" t="s">
        <v>4679</v>
      </c>
      <c r="J324" t="s">
        <v>784</v>
      </c>
      <c r="K324" t="s">
        <v>74</v>
      </c>
      <c r="L324" t="s">
        <v>74</v>
      </c>
      <c r="M324" t="s">
        <v>77</v>
      </c>
      <c r="N324" t="s">
        <v>120</v>
      </c>
      <c r="O324" t="s">
        <v>74</v>
      </c>
      <c r="P324" t="s">
        <v>74</v>
      </c>
      <c r="Q324" t="s">
        <v>74</v>
      </c>
      <c r="R324" t="s">
        <v>74</v>
      </c>
      <c r="S324" t="s">
        <v>74</v>
      </c>
      <c r="T324" t="s">
        <v>74</v>
      </c>
      <c r="U324" t="s">
        <v>4680</v>
      </c>
      <c r="V324" t="s">
        <v>4681</v>
      </c>
      <c r="W324" t="s">
        <v>4682</v>
      </c>
      <c r="X324" t="s">
        <v>4683</v>
      </c>
      <c r="Y324" t="s">
        <v>4684</v>
      </c>
      <c r="Z324" t="s">
        <v>4685</v>
      </c>
      <c r="AA324" t="s">
        <v>74</v>
      </c>
      <c r="AB324" t="s">
        <v>74</v>
      </c>
      <c r="AC324" t="s">
        <v>74</v>
      </c>
      <c r="AD324" t="s">
        <v>74</v>
      </c>
      <c r="AE324" t="s">
        <v>74</v>
      </c>
      <c r="AF324" t="s">
        <v>74</v>
      </c>
      <c r="AG324">
        <v>25</v>
      </c>
      <c r="AH324">
        <v>14</v>
      </c>
      <c r="AI324">
        <v>14</v>
      </c>
      <c r="AJ324">
        <v>0</v>
      </c>
      <c r="AK324">
        <v>8</v>
      </c>
      <c r="AL324" t="s">
        <v>104</v>
      </c>
      <c r="AM324" t="s">
        <v>105</v>
      </c>
      <c r="AN324" t="s">
        <v>106</v>
      </c>
      <c r="AO324" t="s">
        <v>794</v>
      </c>
      <c r="AP324" t="s">
        <v>814</v>
      </c>
      <c r="AQ324" t="s">
        <v>74</v>
      </c>
      <c r="AR324" t="s">
        <v>795</v>
      </c>
      <c r="AS324" t="s">
        <v>796</v>
      </c>
      <c r="AT324" t="s">
        <v>4627</v>
      </c>
      <c r="AU324">
        <v>2001</v>
      </c>
      <c r="AV324">
        <v>33</v>
      </c>
      <c r="AW324">
        <v>3</v>
      </c>
      <c r="AX324" t="s">
        <v>74</v>
      </c>
      <c r="AY324" t="s">
        <v>74</v>
      </c>
      <c r="AZ324" t="s">
        <v>74</v>
      </c>
      <c r="BA324" t="s">
        <v>74</v>
      </c>
      <c r="BB324">
        <v>249</v>
      </c>
      <c r="BC324">
        <v>257</v>
      </c>
      <c r="BD324" t="s">
        <v>74</v>
      </c>
      <c r="BE324" t="s">
        <v>4686</v>
      </c>
      <c r="BF324" t="str">
        <f>HYPERLINK("http://dx.doi.org/10.2307/1552231","http://dx.doi.org/10.2307/1552231")</f>
        <v>http://dx.doi.org/10.2307/1552231</v>
      </c>
      <c r="BG324" t="s">
        <v>74</v>
      </c>
      <c r="BH324" t="s">
        <v>74</v>
      </c>
      <c r="BI324">
        <v>9</v>
      </c>
      <c r="BJ324" t="s">
        <v>798</v>
      </c>
      <c r="BK324" t="s">
        <v>88</v>
      </c>
      <c r="BL324" t="s">
        <v>799</v>
      </c>
      <c r="BM324" t="s">
        <v>4687</v>
      </c>
      <c r="BN324" t="s">
        <v>74</v>
      </c>
      <c r="BO324" t="s">
        <v>171</v>
      </c>
      <c r="BP324" t="s">
        <v>74</v>
      </c>
      <c r="BQ324" t="s">
        <v>74</v>
      </c>
      <c r="BR324" t="s">
        <v>91</v>
      </c>
      <c r="BS324" t="s">
        <v>4688</v>
      </c>
      <c r="BT324" t="str">
        <f>HYPERLINK("https%3A%2F%2Fwww.webofscience.com%2Fwos%2Fwoscc%2Ffull-record%2FWOS:000170836200001","View Full Record in Web of Science")</f>
        <v>View Full Record in Web of Science</v>
      </c>
    </row>
    <row r="325" spans="1:72" x14ac:dyDescent="0.15">
      <c r="A325" t="s">
        <v>72</v>
      </c>
      <c r="B325" t="s">
        <v>4689</v>
      </c>
      <c r="C325" t="s">
        <v>74</v>
      </c>
      <c r="D325" t="s">
        <v>74</v>
      </c>
      <c r="E325" t="s">
        <v>74</v>
      </c>
      <c r="F325" t="s">
        <v>4689</v>
      </c>
      <c r="G325" t="s">
        <v>74</v>
      </c>
      <c r="H325" t="s">
        <v>74</v>
      </c>
      <c r="I325" t="s">
        <v>4690</v>
      </c>
      <c r="J325" t="s">
        <v>784</v>
      </c>
      <c r="K325" t="s">
        <v>74</v>
      </c>
      <c r="L325" t="s">
        <v>74</v>
      </c>
      <c r="M325" t="s">
        <v>77</v>
      </c>
      <c r="N325" t="s">
        <v>120</v>
      </c>
      <c r="O325" t="s">
        <v>74</v>
      </c>
      <c r="P325" t="s">
        <v>74</v>
      </c>
      <c r="Q325" t="s">
        <v>74</v>
      </c>
      <c r="R325" t="s">
        <v>74</v>
      </c>
      <c r="S325" t="s">
        <v>74</v>
      </c>
      <c r="T325" t="s">
        <v>74</v>
      </c>
      <c r="U325" t="s">
        <v>4691</v>
      </c>
      <c r="V325" t="s">
        <v>4692</v>
      </c>
      <c r="W325" t="s">
        <v>4693</v>
      </c>
      <c r="X325" t="s">
        <v>4694</v>
      </c>
      <c r="Y325" t="s">
        <v>4695</v>
      </c>
      <c r="Z325" t="s">
        <v>74</v>
      </c>
      <c r="AA325" t="s">
        <v>4696</v>
      </c>
      <c r="AB325" t="s">
        <v>74</v>
      </c>
      <c r="AC325" t="s">
        <v>74</v>
      </c>
      <c r="AD325" t="s">
        <v>74</v>
      </c>
      <c r="AE325" t="s">
        <v>74</v>
      </c>
      <c r="AF325" t="s">
        <v>74</v>
      </c>
      <c r="AG325">
        <v>30</v>
      </c>
      <c r="AH325">
        <v>20</v>
      </c>
      <c r="AI325">
        <v>20</v>
      </c>
      <c r="AJ325">
        <v>0</v>
      </c>
      <c r="AK325">
        <v>1</v>
      </c>
      <c r="AL325" t="s">
        <v>791</v>
      </c>
      <c r="AM325" t="s">
        <v>792</v>
      </c>
      <c r="AN325" t="s">
        <v>793</v>
      </c>
      <c r="AO325" t="s">
        <v>794</v>
      </c>
      <c r="AP325" t="s">
        <v>74</v>
      </c>
      <c r="AQ325" t="s">
        <v>74</v>
      </c>
      <c r="AR325" t="s">
        <v>795</v>
      </c>
      <c r="AS325" t="s">
        <v>796</v>
      </c>
      <c r="AT325" t="s">
        <v>4627</v>
      </c>
      <c r="AU325">
        <v>2001</v>
      </c>
      <c r="AV325">
        <v>33</v>
      </c>
      <c r="AW325">
        <v>3</v>
      </c>
      <c r="AX325" t="s">
        <v>74</v>
      </c>
      <c r="AY325" t="s">
        <v>74</v>
      </c>
      <c r="AZ325" t="s">
        <v>74</v>
      </c>
      <c r="BA325" t="s">
        <v>74</v>
      </c>
      <c r="BB325">
        <v>258</v>
      </c>
      <c r="BC325">
        <v>265</v>
      </c>
      <c r="BD325" t="s">
        <v>74</v>
      </c>
      <c r="BE325" t="s">
        <v>4697</v>
      </c>
      <c r="BF325" t="str">
        <f>HYPERLINK("http://dx.doi.org/10.2307/1552232","http://dx.doi.org/10.2307/1552232")</f>
        <v>http://dx.doi.org/10.2307/1552232</v>
      </c>
      <c r="BG325" t="s">
        <v>74</v>
      </c>
      <c r="BH325" t="s">
        <v>74</v>
      </c>
      <c r="BI325">
        <v>8</v>
      </c>
      <c r="BJ325" t="s">
        <v>798</v>
      </c>
      <c r="BK325" t="s">
        <v>88</v>
      </c>
      <c r="BL325" t="s">
        <v>799</v>
      </c>
      <c r="BM325" t="s">
        <v>4687</v>
      </c>
      <c r="BN325" t="s">
        <v>74</v>
      </c>
      <c r="BO325" t="s">
        <v>74</v>
      </c>
      <c r="BP325" t="s">
        <v>74</v>
      </c>
      <c r="BQ325" t="s">
        <v>74</v>
      </c>
      <c r="BR325" t="s">
        <v>91</v>
      </c>
      <c r="BS325" t="s">
        <v>4698</v>
      </c>
      <c r="BT325" t="str">
        <f>HYPERLINK("https%3A%2F%2Fwww.webofscience.com%2Fwos%2Fwoscc%2Ffull-record%2FWOS:000170836200002","View Full Record in Web of Science")</f>
        <v>View Full Record in Web of Science</v>
      </c>
    </row>
    <row r="326" spans="1:72" x14ac:dyDescent="0.15">
      <c r="A326" t="s">
        <v>72</v>
      </c>
      <c r="B326" t="s">
        <v>4699</v>
      </c>
      <c r="C326" t="s">
        <v>74</v>
      </c>
      <c r="D326" t="s">
        <v>74</v>
      </c>
      <c r="E326" t="s">
        <v>74</v>
      </c>
      <c r="F326" t="s">
        <v>4699</v>
      </c>
      <c r="G326" t="s">
        <v>74</v>
      </c>
      <c r="H326" t="s">
        <v>74</v>
      </c>
      <c r="I326" t="s">
        <v>4700</v>
      </c>
      <c r="J326" t="s">
        <v>784</v>
      </c>
      <c r="K326" t="s">
        <v>74</v>
      </c>
      <c r="L326" t="s">
        <v>74</v>
      </c>
      <c r="M326" t="s">
        <v>77</v>
      </c>
      <c r="N326" t="s">
        <v>120</v>
      </c>
      <c r="O326" t="s">
        <v>74</v>
      </c>
      <c r="P326" t="s">
        <v>74</v>
      </c>
      <c r="Q326" t="s">
        <v>74</v>
      </c>
      <c r="R326" t="s">
        <v>74</v>
      </c>
      <c r="S326" t="s">
        <v>74</v>
      </c>
      <c r="T326" t="s">
        <v>74</v>
      </c>
      <c r="U326" t="s">
        <v>4701</v>
      </c>
      <c r="V326" t="s">
        <v>4702</v>
      </c>
      <c r="W326" t="s">
        <v>4703</v>
      </c>
      <c r="X326" t="s">
        <v>4704</v>
      </c>
      <c r="Y326" t="s">
        <v>4705</v>
      </c>
      <c r="Z326" t="s">
        <v>74</v>
      </c>
      <c r="AA326" t="s">
        <v>74</v>
      </c>
      <c r="AB326" t="s">
        <v>74</v>
      </c>
      <c r="AC326" t="s">
        <v>74</v>
      </c>
      <c r="AD326" t="s">
        <v>74</v>
      </c>
      <c r="AE326" t="s">
        <v>74</v>
      </c>
      <c r="AF326" t="s">
        <v>74</v>
      </c>
      <c r="AG326">
        <v>32</v>
      </c>
      <c r="AH326">
        <v>42</v>
      </c>
      <c r="AI326">
        <v>46</v>
      </c>
      <c r="AJ326">
        <v>0</v>
      </c>
      <c r="AK326">
        <v>12</v>
      </c>
      <c r="AL326" t="s">
        <v>791</v>
      </c>
      <c r="AM326" t="s">
        <v>792</v>
      </c>
      <c r="AN326" t="s">
        <v>793</v>
      </c>
      <c r="AO326" t="s">
        <v>794</v>
      </c>
      <c r="AP326" t="s">
        <v>74</v>
      </c>
      <c r="AQ326" t="s">
        <v>74</v>
      </c>
      <c r="AR326" t="s">
        <v>795</v>
      </c>
      <c r="AS326" t="s">
        <v>796</v>
      </c>
      <c r="AT326" t="s">
        <v>4627</v>
      </c>
      <c r="AU326">
        <v>2001</v>
      </c>
      <c r="AV326">
        <v>33</v>
      </c>
      <c r="AW326">
        <v>3</v>
      </c>
      <c r="AX326" t="s">
        <v>74</v>
      </c>
      <c r="AY326" t="s">
        <v>74</v>
      </c>
      <c r="AZ326" t="s">
        <v>74</v>
      </c>
      <c r="BA326" t="s">
        <v>74</v>
      </c>
      <c r="BB326">
        <v>266</v>
      </c>
      <c r="BC326">
        <v>273</v>
      </c>
      <c r="BD326" t="s">
        <v>74</v>
      </c>
      <c r="BE326" t="s">
        <v>4706</v>
      </c>
      <c r="BF326" t="str">
        <f>HYPERLINK("http://dx.doi.org/10.2307/1552233","http://dx.doi.org/10.2307/1552233")</f>
        <v>http://dx.doi.org/10.2307/1552233</v>
      </c>
      <c r="BG326" t="s">
        <v>74</v>
      </c>
      <c r="BH326" t="s">
        <v>74</v>
      </c>
      <c r="BI326">
        <v>8</v>
      </c>
      <c r="BJ326" t="s">
        <v>798</v>
      </c>
      <c r="BK326" t="s">
        <v>88</v>
      </c>
      <c r="BL326" t="s">
        <v>799</v>
      </c>
      <c r="BM326" t="s">
        <v>4687</v>
      </c>
      <c r="BN326" t="s">
        <v>74</v>
      </c>
      <c r="BO326" t="s">
        <v>171</v>
      </c>
      <c r="BP326" t="s">
        <v>74</v>
      </c>
      <c r="BQ326" t="s">
        <v>74</v>
      </c>
      <c r="BR326" t="s">
        <v>91</v>
      </c>
      <c r="BS326" t="s">
        <v>4707</v>
      </c>
      <c r="BT326" t="str">
        <f>HYPERLINK("https%3A%2F%2Fwww.webofscience.com%2Fwos%2Fwoscc%2Ffull-record%2FWOS:000170836200003","View Full Record in Web of Science")</f>
        <v>View Full Record in Web of Science</v>
      </c>
    </row>
    <row r="327" spans="1:72" x14ac:dyDescent="0.15">
      <c r="A327" t="s">
        <v>72</v>
      </c>
      <c r="B327" t="s">
        <v>4708</v>
      </c>
      <c r="C327" t="s">
        <v>74</v>
      </c>
      <c r="D327" t="s">
        <v>74</v>
      </c>
      <c r="E327" t="s">
        <v>74</v>
      </c>
      <c r="F327" t="s">
        <v>4708</v>
      </c>
      <c r="G327" t="s">
        <v>74</v>
      </c>
      <c r="H327" t="s">
        <v>74</v>
      </c>
      <c r="I327" t="s">
        <v>4709</v>
      </c>
      <c r="J327" t="s">
        <v>784</v>
      </c>
      <c r="K327" t="s">
        <v>74</v>
      </c>
      <c r="L327" t="s">
        <v>74</v>
      </c>
      <c r="M327" t="s">
        <v>77</v>
      </c>
      <c r="N327" t="s">
        <v>120</v>
      </c>
      <c r="O327" t="s">
        <v>74</v>
      </c>
      <c r="P327" t="s">
        <v>74</v>
      </c>
      <c r="Q327" t="s">
        <v>74</v>
      </c>
      <c r="R327" t="s">
        <v>74</v>
      </c>
      <c r="S327" t="s">
        <v>74</v>
      </c>
      <c r="T327" t="s">
        <v>74</v>
      </c>
      <c r="U327" t="s">
        <v>4710</v>
      </c>
      <c r="V327" t="s">
        <v>4711</v>
      </c>
      <c r="W327" t="s">
        <v>4712</v>
      </c>
      <c r="X327" t="s">
        <v>3362</v>
      </c>
      <c r="Y327" t="s">
        <v>4684</v>
      </c>
      <c r="Z327" t="s">
        <v>4713</v>
      </c>
      <c r="AA327" t="s">
        <v>4714</v>
      </c>
      <c r="AB327" t="s">
        <v>74</v>
      </c>
      <c r="AC327" t="s">
        <v>74</v>
      </c>
      <c r="AD327" t="s">
        <v>74</v>
      </c>
      <c r="AE327" t="s">
        <v>74</v>
      </c>
      <c r="AF327" t="s">
        <v>74</v>
      </c>
      <c r="AG327">
        <v>53</v>
      </c>
      <c r="AH327">
        <v>23</v>
      </c>
      <c r="AI327">
        <v>26</v>
      </c>
      <c r="AJ327">
        <v>0</v>
      </c>
      <c r="AK327">
        <v>5</v>
      </c>
      <c r="AL327" t="s">
        <v>104</v>
      </c>
      <c r="AM327" t="s">
        <v>105</v>
      </c>
      <c r="AN327" t="s">
        <v>106</v>
      </c>
      <c r="AO327" t="s">
        <v>794</v>
      </c>
      <c r="AP327" t="s">
        <v>814</v>
      </c>
      <c r="AQ327" t="s">
        <v>74</v>
      </c>
      <c r="AR327" t="s">
        <v>795</v>
      </c>
      <c r="AS327" t="s">
        <v>796</v>
      </c>
      <c r="AT327" t="s">
        <v>4627</v>
      </c>
      <c r="AU327">
        <v>2001</v>
      </c>
      <c r="AV327">
        <v>33</v>
      </c>
      <c r="AW327">
        <v>3</v>
      </c>
      <c r="AX327" t="s">
        <v>74</v>
      </c>
      <c r="AY327" t="s">
        <v>74</v>
      </c>
      <c r="AZ327" t="s">
        <v>74</v>
      </c>
      <c r="BA327" t="s">
        <v>74</v>
      </c>
      <c r="BB327">
        <v>274</v>
      </c>
      <c r="BC327">
        <v>281</v>
      </c>
      <c r="BD327" t="s">
        <v>74</v>
      </c>
      <c r="BE327" t="s">
        <v>4715</v>
      </c>
      <c r="BF327" t="str">
        <f>HYPERLINK("http://dx.doi.org/10.2307/1552234","http://dx.doi.org/10.2307/1552234")</f>
        <v>http://dx.doi.org/10.2307/1552234</v>
      </c>
      <c r="BG327" t="s">
        <v>74</v>
      </c>
      <c r="BH327" t="s">
        <v>74</v>
      </c>
      <c r="BI327">
        <v>8</v>
      </c>
      <c r="BJ327" t="s">
        <v>798</v>
      </c>
      <c r="BK327" t="s">
        <v>88</v>
      </c>
      <c r="BL327" t="s">
        <v>799</v>
      </c>
      <c r="BM327" t="s">
        <v>4687</v>
      </c>
      <c r="BN327" t="s">
        <v>74</v>
      </c>
      <c r="BO327" t="s">
        <v>171</v>
      </c>
      <c r="BP327" t="s">
        <v>74</v>
      </c>
      <c r="BQ327" t="s">
        <v>74</v>
      </c>
      <c r="BR327" t="s">
        <v>91</v>
      </c>
      <c r="BS327" t="s">
        <v>4716</v>
      </c>
      <c r="BT327" t="str">
        <f>HYPERLINK("https%3A%2F%2Fwww.webofscience.com%2Fwos%2Fwoscc%2Ffull-record%2FWOS:000170836200004","View Full Record in Web of Science")</f>
        <v>View Full Record in Web of Science</v>
      </c>
    </row>
    <row r="328" spans="1:72" x14ac:dyDescent="0.15">
      <c r="A328" t="s">
        <v>72</v>
      </c>
      <c r="B328" t="s">
        <v>4717</v>
      </c>
      <c r="C328" t="s">
        <v>74</v>
      </c>
      <c r="D328" t="s">
        <v>74</v>
      </c>
      <c r="E328" t="s">
        <v>74</v>
      </c>
      <c r="F328" t="s">
        <v>4717</v>
      </c>
      <c r="G328" t="s">
        <v>74</v>
      </c>
      <c r="H328" t="s">
        <v>74</v>
      </c>
      <c r="I328" t="s">
        <v>4718</v>
      </c>
      <c r="J328" t="s">
        <v>784</v>
      </c>
      <c r="K328" t="s">
        <v>74</v>
      </c>
      <c r="L328" t="s">
        <v>74</v>
      </c>
      <c r="M328" t="s">
        <v>77</v>
      </c>
      <c r="N328" t="s">
        <v>120</v>
      </c>
      <c r="O328" t="s">
        <v>74</v>
      </c>
      <c r="P328" t="s">
        <v>74</v>
      </c>
      <c r="Q328" t="s">
        <v>74</v>
      </c>
      <c r="R328" t="s">
        <v>74</v>
      </c>
      <c r="S328" t="s">
        <v>74</v>
      </c>
      <c r="T328" t="s">
        <v>74</v>
      </c>
      <c r="U328" t="s">
        <v>4719</v>
      </c>
      <c r="V328" t="s">
        <v>4720</v>
      </c>
      <c r="W328" t="s">
        <v>4721</v>
      </c>
      <c r="X328" t="s">
        <v>4722</v>
      </c>
      <c r="Y328" t="s">
        <v>4723</v>
      </c>
      <c r="Z328" t="s">
        <v>4724</v>
      </c>
      <c r="AA328" t="s">
        <v>4725</v>
      </c>
      <c r="AB328" t="s">
        <v>4726</v>
      </c>
      <c r="AC328" t="s">
        <v>74</v>
      </c>
      <c r="AD328" t="s">
        <v>74</v>
      </c>
      <c r="AE328" t="s">
        <v>74</v>
      </c>
      <c r="AF328" t="s">
        <v>74</v>
      </c>
      <c r="AG328">
        <v>35</v>
      </c>
      <c r="AH328">
        <v>44</v>
      </c>
      <c r="AI328">
        <v>49</v>
      </c>
      <c r="AJ328">
        <v>0</v>
      </c>
      <c r="AK328">
        <v>18</v>
      </c>
      <c r="AL328" t="s">
        <v>104</v>
      </c>
      <c r="AM328" t="s">
        <v>105</v>
      </c>
      <c r="AN328" t="s">
        <v>106</v>
      </c>
      <c r="AO328" t="s">
        <v>794</v>
      </c>
      <c r="AP328" t="s">
        <v>814</v>
      </c>
      <c r="AQ328" t="s">
        <v>74</v>
      </c>
      <c r="AR328" t="s">
        <v>795</v>
      </c>
      <c r="AS328" t="s">
        <v>796</v>
      </c>
      <c r="AT328" t="s">
        <v>4627</v>
      </c>
      <c r="AU328">
        <v>2001</v>
      </c>
      <c r="AV328">
        <v>33</v>
      </c>
      <c r="AW328">
        <v>3</v>
      </c>
      <c r="AX328" t="s">
        <v>74</v>
      </c>
      <c r="AY328" t="s">
        <v>74</v>
      </c>
      <c r="AZ328" t="s">
        <v>74</v>
      </c>
      <c r="BA328" t="s">
        <v>74</v>
      </c>
      <c r="BB328">
        <v>282</v>
      </c>
      <c r="BC328">
        <v>288</v>
      </c>
      <c r="BD328" t="s">
        <v>74</v>
      </c>
      <c r="BE328" t="s">
        <v>4727</v>
      </c>
      <c r="BF328" t="str">
        <f>HYPERLINK("http://dx.doi.org/10.2307/1552235","http://dx.doi.org/10.2307/1552235")</f>
        <v>http://dx.doi.org/10.2307/1552235</v>
      </c>
      <c r="BG328" t="s">
        <v>74</v>
      </c>
      <c r="BH328" t="s">
        <v>74</v>
      </c>
      <c r="BI328">
        <v>7</v>
      </c>
      <c r="BJ328" t="s">
        <v>798</v>
      </c>
      <c r="BK328" t="s">
        <v>88</v>
      </c>
      <c r="BL328" t="s">
        <v>799</v>
      </c>
      <c r="BM328" t="s">
        <v>4687</v>
      </c>
      <c r="BN328" t="s">
        <v>74</v>
      </c>
      <c r="BO328" t="s">
        <v>74</v>
      </c>
      <c r="BP328" t="s">
        <v>74</v>
      </c>
      <c r="BQ328" t="s">
        <v>74</v>
      </c>
      <c r="BR328" t="s">
        <v>91</v>
      </c>
      <c r="BS328" t="s">
        <v>4728</v>
      </c>
      <c r="BT328" t="str">
        <f>HYPERLINK("https%3A%2F%2Fwww.webofscience.com%2Fwos%2Fwoscc%2Ffull-record%2FWOS:000170836200005","View Full Record in Web of Science")</f>
        <v>View Full Record in Web of Science</v>
      </c>
    </row>
    <row r="329" spans="1:72" x14ac:dyDescent="0.15">
      <c r="A329" t="s">
        <v>72</v>
      </c>
      <c r="B329" t="s">
        <v>4729</v>
      </c>
      <c r="C329" t="s">
        <v>74</v>
      </c>
      <c r="D329" t="s">
        <v>74</v>
      </c>
      <c r="E329" t="s">
        <v>74</v>
      </c>
      <c r="F329" t="s">
        <v>4729</v>
      </c>
      <c r="G329" t="s">
        <v>74</v>
      </c>
      <c r="H329" t="s">
        <v>74</v>
      </c>
      <c r="I329" t="s">
        <v>4730</v>
      </c>
      <c r="J329" t="s">
        <v>784</v>
      </c>
      <c r="K329" t="s">
        <v>74</v>
      </c>
      <c r="L329" t="s">
        <v>74</v>
      </c>
      <c r="M329" t="s">
        <v>77</v>
      </c>
      <c r="N329" t="s">
        <v>120</v>
      </c>
      <c r="O329" t="s">
        <v>74</v>
      </c>
      <c r="P329" t="s">
        <v>74</v>
      </c>
      <c r="Q329" t="s">
        <v>74</v>
      </c>
      <c r="R329" t="s">
        <v>74</v>
      </c>
      <c r="S329" t="s">
        <v>74</v>
      </c>
      <c r="T329" t="s">
        <v>74</v>
      </c>
      <c r="U329" t="s">
        <v>4731</v>
      </c>
      <c r="V329" t="s">
        <v>4732</v>
      </c>
      <c r="W329" t="s">
        <v>4733</v>
      </c>
      <c r="X329" t="s">
        <v>4734</v>
      </c>
      <c r="Y329" t="s">
        <v>4735</v>
      </c>
      <c r="Z329" t="s">
        <v>4736</v>
      </c>
      <c r="AA329" t="s">
        <v>74</v>
      </c>
      <c r="AB329" t="s">
        <v>74</v>
      </c>
      <c r="AC329" t="s">
        <v>74</v>
      </c>
      <c r="AD329" t="s">
        <v>74</v>
      </c>
      <c r="AE329" t="s">
        <v>74</v>
      </c>
      <c r="AF329" t="s">
        <v>74</v>
      </c>
      <c r="AG329">
        <v>61</v>
      </c>
      <c r="AH329">
        <v>30</v>
      </c>
      <c r="AI329">
        <v>34</v>
      </c>
      <c r="AJ329">
        <v>1</v>
      </c>
      <c r="AK329">
        <v>13</v>
      </c>
      <c r="AL329" t="s">
        <v>104</v>
      </c>
      <c r="AM329" t="s">
        <v>105</v>
      </c>
      <c r="AN329" t="s">
        <v>106</v>
      </c>
      <c r="AO329" t="s">
        <v>794</v>
      </c>
      <c r="AP329" t="s">
        <v>814</v>
      </c>
      <c r="AQ329" t="s">
        <v>74</v>
      </c>
      <c r="AR329" t="s">
        <v>795</v>
      </c>
      <c r="AS329" t="s">
        <v>796</v>
      </c>
      <c r="AT329" t="s">
        <v>4627</v>
      </c>
      <c r="AU329">
        <v>2001</v>
      </c>
      <c r="AV329">
        <v>33</v>
      </c>
      <c r="AW329">
        <v>3</v>
      </c>
      <c r="AX329" t="s">
        <v>74</v>
      </c>
      <c r="AY329" t="s">
        <v>74</v>
      </c>
      <c r="AZ329" t="s">
        <v>74</v>
      </c>
      <c r="BA329" t="s">
        <v>74</v>
      </c>
      <c r="BB329">
        <v>289</v>
      </c>
      <c r="BC329">
        <v>298</v>
      </c>
      <c r="BD329" t="s">
        <v>74</v>
      </c>
      <c r="BE329" t="s">
        <v>4737</v>
      </c>
      <c r="BF329" t="str">
        <f>HYPERLINK("http://dx.doi.org/10.2307/1552236","http://dx.doi.org/10.2307/1552236")</f>
        <v>http://dx.doi.org/10.2307/1552236</v>
      </c>
      <c r="BG329" t="s">
        <v>74</v>
      </c>
      <c r="BH329" t="s">
        <v>74</v>
      </c>
      <c r="BI329">
        <v>10</v>
      </c>
      <c r="BJ329" t="s">
        <v>798</v>
      </c>
      <c r="BK329" t="s">
        <v>88</v>
      </c>
      <c r="BL329" t="s">
        <v>799</v>
      </c>
      <c r="BM329" t="s">
        <v>4687</v>
      </c>
      <c r="BN329" t="s">
        <v>74</v>
      </c>
      <c r="BO329" t="s">
        <v>74</v>
      </c>
      <c r="BP329" t="s">
        <v>74</v>
      </c>
      <c r="BQ329" t="s">
        <v>74</v>
      </c>
      <c r="BR329" t="s">
        <v>91</v>
      </c>
      <c r="BS329" t="s">
        <v>4738</v>
      </c>
      <c r="BT329" t="str">
        <f>HYPERLINK("https%3A%2F%2Fwww.webofscience.com%2Fwos%2Fwoscc%2Ffull-record%2FWOS:000170836200006","View Full Record in Web of Science")</f>
        <v>View Full Record in Web of Science</v>
      </c>
    </row>
    <row r="330" spans="1:72" x14ac:dyDescent="0.15">
      <c r="A330" t="s">
        <v>72</v>
      </c>
      <c r="B330" t="s">
        <v>4739</v>
      </c>
      <c r="C330" t="s">
        <v>74</v>
      </c>
      <c r="D330" t="s">
        <v>74</v>
      </c>
      <c r="E330" t="s">
        <v>74</v>
      </c>
      <c r="F330" t="s">
        <v>4739</v>
      </c>
      <c r="G330" t="s">
        <v>74</v>
      </c>
      <c r="H330" t="s">
        <v>74</v>
      </c>
      <c r="I330" t="s">
        <v>4740</v>
      </c>
      <c r="J330" t="s">
        <v>784</v>
      </c>
      <c r="K330" t="s">
        <v>74</v>
      </c>
      <c r="L330" t="s">
        <v>74</v>
      </c>
      <c r="M330" t="s">
        <v>77</v>
      </c>
      <c r="N330" t="s">
        <v>120</v>
      </c>
      <c r="O330" t="s">
        <v>74</v>
      </c>
      <c r="P330" t="s">
        <v>74</v>
      </c>
      <c r="Q330" t="s">
        <v>74</v>
      </c>
      <c r="R330" t="s">
        <v>74</v>
      </c>
      <c r="S330" t="s">
        <v>74</v>
      </c>
      <c r="T330" t="s">
        <v>74</v>
      </c>
      <c r="U330" t="s">
        <v>4741</v>
      </c>
      <c r="V330" t="s">
        <v>4742</v>
      </c>
      <c r="W330" t="s">
        <v>4743</v>
      </c>
      <c r="X330" t="s">
        <v>4744</v>
      </c>
      <c r="Y330" t="s">
        <v>4745</v>
      </c>
      <c r="Z330" t="s">
        <v>74</v>
      </c>
      <c r="AA330" t="s">
        <v>4746</v>
      </c>
      <c r="AB330" t="s">
        <v>74</v>
      </c>
      <c r="AC330" t="s">
        <v>74</v>
      </c>
      <c r="AD330" t="s">
        <v>74</v>
      </c>
      <c r="AE330" t="s">
        <v>74</v>
      </c>
      <c r="AF330" t="s">
        <v>74</v>
      </c>
      <c r="AG330">
        <v>50</v>
      </c>
      <c r="AH330">
        <v>6</v>
      </c>
      <c r="AI330">
        <v>7</v>
      </c>
      <c r="AJ330">
        <v>1</v>
      </c>
      <c r="AK330">
        <v>13</v>
      </c>
      <c r="AL330" t="s">
        <v>791</v>
      </c>
      <c r="AM330" t="s">
        <v>792</v>
      </c>
      <c r="AN330" t="s">
        <v>793</v>
      </c>
      <c r="AO330" t="s">
        <v>794</v>
      </c>
      <c r="AP330" t="s">
        <v>74</v>
      </c>
      <c r="AQ330" t="s">
        <v>74</v>
      </c>
      <c r="AR330" t="s">
        <v>795</v>
      </c>
      <c r="AS330" t="s">
        <v>796</v>
      </c>
      <c r="AT330" t="s">
        <v>4627</v>
      </c>
      <c r="AU330">
        <v>2001</v>
      </c>
      <c r="AV330">
        <v>33</v>
      </c>
      <c r="AW330">
        <v>3</v>
      </c>
      <c r="AX330" t="s">
        <v>74</v>
      </c>
      <c r="AY330" t="s">
        <v>74</v>
      </c>
      <c r="AZ330" t="s">
        <v>74</v>
      </c>
      <c r="BA330" t="s">
        <v>74</v>
      </c>
      <c r="BB330">
        <v>299</v>
      </c>
      <c r="BC330">
        <v>305</v>
      </c>
      <c r="BD330" t="s">
        <v>74</v>
      </c>
      <c r="BE330" t="s">
        <v>4747</v>
      </c>
      <c r="BF330" t="str">
        <f>HYPERLINK("http://dx.doi.org/10.2307/1552237","http://dx.doi.org/10.2307/1552237")</f>
        <v>http://dx.doi.org/10.2307/1552237</v>
      </c>
      <c r="BG330" t="s">
        <v>74</v>
      </c>
      <c r="BH330" t="s">
        <v>74</v>
      </c>
      <c r="BI330">
        <v>7</v>
      </c>
      <c r="BJ330" t="s">
        <v>798</v>
      </c>
      <c r="BK330" t="s">
        <v>88</v>
      </c>
      <c r="BL330" t="s">
        <v>799</v>
      </c>
      <c r="BM330" t="s">
        <v>4687</v>
      </c>
      <c r="BN330" t="s">
        <v>74</v>
      </c>
      <c r="BO330" t="s">
        <v>74</v>
      </c>
      <c r="BP330" t="s">
        <v>74</v>
      </c>
      <c r="BQ330" t="s">
        <v>74</v>
      </c>
      <c r="BR330" t="s">
        <v>91</v>
      </c>
      <c r="BS330" t="s">
        <v>4748</v>
      </c>
      <c r="BT330" t="str">
        <f>HYPERLINK("https%3A%2F%2Fwww.webofscience.com%2Fwos%2Fwoscc%2Ffull-record%2FWOS:000170836200007","View Full Record in Web of Science")</f>
        <v>View Full Record in Web of Science</v>
      </c>
    </row>
    <row r="331" spans="1:72" x14ac:dyDescent="0.15">
      <c r="A331" t="s">
        <v>72</v>
      </c>
      <c r="B331" t="s">
        <v>4749</v>
      </c>
      <c r="C331" t="s">
        <v>74</v>
      </c>
      <c r="D331" t="s">
        <v>74</v>
      </c>
      <c r="E331" t="s">
        <v>74</v>
      </c>
      <c r="F331" t="s">
        <v>4749</v>
      </c>
      <c r="G331" t="s">
        <v>74</v>
      </c>
      <c r="H331" t="s">
        <v>74</v>
      </c>
      <c r="I331" t="s">
        <v>4750</v>
      </c>
      <c r="J331" t="s">
        <v>784</v>
      </c>
      <c r="K331" t="s">
        <v>74</v>
      </c>
      <c r="L331" t="s">
        <v>74</v>
      </c>
      <c r="M331" t="s">
        <v>77</v>
      </c>
      <c r="N331" t="s">
        <v>120</v>
      </c>
      <c r="O331" t="s">
        <v>74</v>
      </c>
      <c r="P331" t="s">
        <v>74</v>
      </c>
      <c r="Q331" t="s">
        <v>74</v>
      </c>
      <c r="R331" t="s">
        <v>74</v>
      </c>
      <c r="S331" t="s">
        <v>74</v>
      </c>
      <c r="T331" t="s">
        <v>74</v>
      </c>
      <c r="U331" t="s">
        <v>4751</v>
      </c>
      <c r="V331" t="s">
        <v>4752</v>
      </c>
      <c r="W331" t="s">
        <v>4753</v>
      </c>
      <c r="X331" t="s">
        <v>4754</v>
      </c>
      <c r="Y331" t="s">
        <v>4755</v>
      </c>
      <c r="Z331" t="s">
        <v>74</v>
      </c>
      <c r="AA331" t="s">
        <v>74</v>
      </c>
      <c r="AB331" t="s">
        <v>74</v>
      </c>
      <c r="AC331" t="s">
        <v>74</v>
      </c>
      <c r="AD331" t="s">
        <v>74</v>
      </c>
      <c r="AE331" t="s">
        <v>74</v>
      </c>
      <c r="AF331" t="s">
        <v>74</v>
      </c>
      <c r="AG331">
        <v>59</v>
      </c>
      <c r="AH331">
        <v>28</v>
      </c>
      <c r="AI331">
        <v>30</v>
      </c>
      <c r="AJ331">
        <v>0</v>
      </c>
      <c r="AK331">
        <v>9</v>
      </c>
      <c r="AL331" t="s">
        <v>791</v>
      </c>
      <c r="AM331" t="s">
        <v>792</v>
      </c>
      <c r="AN331" t="s">
        <v>793</v>
      </c>
      <c r="AO331" t="s">
        <v>794</v>
      </c>
      <c r="AP331" t="s">
        <v>74</v>
      </c>
      <c r="AQ331" t="s">
        <v>74</v>
      </c>
      <c r="AR331" t="s">
        <v>795</v>
      </c>
      <c r="AS331" t="s">
        <v>796</v>
      </c>
      <c r="AT331" t="s">
        <v>4627</v>
      </c>
      <c r="AU331">
        <v>2001</v>
      </c>
      <c r="AV331">
        <v>33</v>
      </c>
      <c r="AW331">
        <v>3</v>
      </c>
      <c r="AX331" t="s">
        <v>74</v>
      </c>
      <c r="AY331" t="s">
        <v>74</v>
      </c>
      <c r="AZ331" t="s">
        <v>74</v>
      </c>
      <c r="BA331" t="s">
        <v>74</v>
      </c>
      <c r="BB331">
        <v>306</v>
      </c>
      <c r="BC331">
        <v>318</v>
      </c>
      <c r="BD331" t="s">
        <v>74</v>
      </c>
      <c r="BE331" t="s">
        <v>4756</v>
      </c>
      <c r="BF331" t="str">
        <f>HYPERLINK("http://dx.doi.org/10.2307/1552238","http://dx.doi.org/10.2307/1552238")</f>
        <v>http://dx.doi.org/10.2307/1552238</v>
      </c>
      <c r="BG331" t="s">
        <v>74</v>
      </c>
      <c r="BH331" t="s">
        <v>74</v>
      </c>
      <c r="BI331">
        <v>13</v>
      </c>
      <c r="BJ331" t="s">
        <v>798</v>
      </c>
      <c r="BK331" t="s">
        <v>88</v>
      </c>
      <c r="BL331" t="s">
        <v>799</v>
      </c>
      <c r="BM331" t="s">
        <v>4687</v>
      </c>
      <c r="BN331" t="s">
        <v>74</v>
      </c>
      <c r="BO331" t="s">
        <v>171</v>
      </c>
      <c r="BP331" t="s">
        <v>74</v>
      </c>
      <c r="BQ331" t="s">
        <v>74</v>
      </c>
      <c r="BR331" t="s">
        <v>91</v>
      </c>
      <c r="BS331" t="s">
        <v>4757</v>
      </c>
      <c r="BT331" t="str">
        <f>HYPERLINK("https%3A%2F%2Fwww.webofscience.com%2Fwos%2Fwoscc%2Ffull-record%2FWOS:000170836200008","View Full Record in Web of Science")</f>
        <v>View Full Record in Web of Science</v>
      </c>
    </row>
    <row r="332" spans="1:72" x14ac:dyDescent="0.15">
      <c r="A332" t="s">
        <v>72</v>
      </c>
      <c r="B332" t="s">
        <v>4758</v>
      </c>
      <c r="C332" t="s">
        <v>74</v>
      </c>
      <c r="D332" t="s">
        <v>74</v>
      </c>
      <c r="E332" t="s">
        <v>74</v>
      </c>
      <c r="F332" t="s">
        <v>4758</v>
      </c>
      <c r="G332" t="s">
        <v>74</v>
      </c>
      <c r="H332" t="s">
        <v>74</v>
      </c>
      <c r="I332" t="s">
        <v>4759</v>
      </c>
      <c r="J332" t="s">
        <v>784</v>
      </c>
      <c r="K332" t="s">
        <v>74</v>
      </c>
      <c r="L332" t="s">
        <v>74</v>
      </c>
      <c r="M332" t="s">
        <v>77</v>
      </c>
      <c r="N332" t="s">
        <v>120</v>
      </c>
      <c r="O332" t="s">
        <v>74</v>
      </c>
      <c r="P332" t="s">
        <v>74</v>
      </c>
      <c r="Q332" t="s">
        <v>74</v>
      </c>
      <c r="R332" t="s">
        <v>74</v>
      </c>
      <c r="S332" t="s">
        <v>74</v>
      </c>
      <c r="T332" t="s">
        <v>74</v>
      </c>
      <c r="U332" t="s">
        <v>4760</v>
      </c>
      <c r="V332" t="s">
        <v>4761</v>
      </c>
      <c r="W332" t="s">
        <v>4762</v>
      </c>
      <c r="X332" t="s">
        <v>4763</v>
      </c>
      <c r="Y332" t="s">
        <v>4764</v>
      </c>
      <c r="Z332" t="s">
        <v>74</v>
      </c>
      <c r="AA332" t="s">
        <v>4765</v>
      </c>
      <c r="AB332" t="s">
        <v>74</v>
      </c>
      <c r="AC332" t="s">
        <v>74</v>
      </c>
      <c r="AD332" t="s">
        <v>74</v>
      </c>
      <c r="AE332" t="s">
        <v>74</v>
      </c>
      <c r="AF332" t="s">
        <v>74</v>
      </c>
      <c r="AG332">
        <v>30</v>
      </c>
      <c r="AH332">
        <v>45</v>
      </c>
      <c r="AI332">
        <v>48</v>
      </c>
      <c r="AJ332">
        <v>1</v>
      </c>
      <c r="AK332">
        <v>18</v>
      </c>
      <c r="AL332" t="s">
        <v>791</v>
      </c>
      <c r="AM332" t="s">
        <v>792</v>
      </c>
      <c r="AN332" t="s">
        <v>793</v>
      </c>
      <c r="AO332" t="s">
        <v>794</v>
      </c>
      <c r="AP332" t="s">
        <v>74</v>
      </c>
      <c r="AQ332" t="s">
        <v>74</v>
      </c>
      <c r="AR332" t="s">
        <v>795</v>
      </c>
      <c r="AS332" t="s">
        <v>796</v>
      </c>
      <c r="AT332" t="s">
        <v>4627</v>
      </c>
      <c r="AU332">
        <v>2001</v>
      </c>
      <c r="AV332">
        <v>33</v>
      </c>
      <c r="AW332">
        <v>3</v>
      </c>
      <c r="AX332" t="s">
        <v>74</v>
      </c>
      <c r="AY332" t="s">
        <v>74</v>
      </c>
      <c r="AZ332" t="s">
        <v>74</v>
      </c>
      <c r="BA332" t="s">
        <v>74</v>
      </c>
      <c r="BB332">
        <v>319</v>
      </c>
      <c r="BC332">
        <v>329</v>
      </c>
      <c r="BD332" t="s">
        <v>74</v>
      </c>
      <c r="BE332" t="s">
        <v>4766</v>
      </c>
      <c r="BF332" t="str">
        <f>HYPERLINK("http://dx.doi.org/10.2307/1552239","http://dx.doi.org/10.2307/1552239")</f>
        <v>http://dx.doi.org/10.2307/1552239</v>
      </c>
      <c r="BG332" t="s">
        <v>74</v>
      </c>
      <c r="BH332" t="s">
        <v>74</v>
      </c>
      <c r="BI332">
        <v>11</v>
      </c>
      <c r="BJ332" t="s">
        <v>798</v>
      </c>
      <c r="BK332" t="s">
        <v>88</v>
      </c>
      <c r="BL332" t="s">
        <v>799</v>
      </c>
      <c r="BM332" t="s">
        <v>4687</v>
      </c>
      <c r="BN332" t="s">
        <v>74</v>
      </c>
      <c r="BO332" t="s">
        <v>74</v>
      </c>
      <c r="BP332" t="s">
        <v>74</v>
      </c>
      <c r="BQ332" t="s">
        <v>74</v>
      </c>
      <c r="BR332" t="s">
        <v>91</v>
      </c>
      <c r="BS332" t="s">
        <v>4767</v>
      </c>
      <c r="BT332" t="str">
        <f>HYPERLINK("https%3A%2F%2Fwww.webofscience.com%2Fwos%2Fwoscc%2Ffull-record%2FWOS:000170836200009","View Full Record in Web of Science")</f>
        <v>View Full Record in Web of Science</v>
      </c>
    </row>
    <row r="333" spans="1:72" x14ac:dyDescent="0.15">
      <c r="A333" t="s">
        <v>72</v>
      </c>
      <c r="B333" t="s">
        <v>4768</v>
      </c>
      <c r="C333" t="s">
        <v>74</v>
      </c>
      <c r="D333" t="s">
        <v>74</v>
      </c>
      <c r="E333" t="s">
        <v>74</v>
      </c>
      <c r="F333" t="s">
        <v>4768</v>
      </c>
      <c r="G333" t="s">
        <v>74</v>
      </c>
      <c r="H333" t="s">
        <v>74</v>
      </c>
      <c r="I333" t="s">
        <v>4769</v>
      </c>
      <c r="J333" t="s">
        <v>784</v>
      </c>
      <c r="K333" t="s">
        <v>74</v>
      </c>
      <c r="L333" t="s">
        <v>74</v>
      </c>
      <c r="M333" t="s">
        <v>77</v>
      </c>
      <c r="N333" t="s">
        <v>120</v>
      </c>
      <c r="O333" t="s">
        <v>74</v>
      </c>
      <c r="P333" t="s">
        <v>74</v>
      </c>
      <c r="Q333" t="s">
        <v>74</v>
      </c>
      <c r="R333" t="s">
        <v>74</v>
      </c>
      <c r="S333" t="s">
        <v>74</v>
      </c>
      <c r="T333" t="s">
        <v>74</v>
      </c>
      <c r="U333" t="s">
        <v>4770</v>
      </c>
      <c r="V333" t="s">
        <v>4771</v>
      </c>
      <c r="W333" t="s">
        <v>4772</v>
      </c>
      <c r="X333" t="s">
        <v>4773</v>
      </c>
      <c r="Y333" t="s">
        <v>4774</v>
      </c>
      <c r="Z333" t="s">
        <v>4775</v>
      </c>
      <c r="AA333" t="s">
        <v>4776</v>
      </c>
      <c r="AB333" t="s">
        <v>4777</v>
      </c>
      <c r="AC333" t="s">
        <v>74</v>
      </c>
      <c r="AD333" t="s">
        <v>74</v>
      </c>
      <c r="AE333" t="s">
        <v>74</v>
      </c>
      <c r="AF333" t="s">
        <v>74</v>
      </c>
      <c r="AG333">
        <v>42</v>
      </c>
      <c r="AH333">
        <v>8</v>
      </c>
      <c r="AI333">
        <v>9</v>
      </c>
      <c r="AJ333">
        <v>0</v>
      </c>
      <c r="AK333">
        <v>7</v>
      </c>
      <c r="AL333" t="s">
        <v>791</v>
      </c>
      <c r="AM333" t="s">
        <v>792</v>
      </c>
      <c r="AN333" t="s">
        <v>793</v>
      </c>
      <c r="AO333" t="s">
        <v>794</v>
      </c>
      <c r="AP333" t="s">
        <v>74</v>
      </c>
      <c r="AQ333" t="s">
        <v>74</v>
      </c>
      <c r="AR333" t="s">
        <v>795</v>
      </c>
      <c r="AS333" t="s">
        <v>796</v>
      </c>
      <c r="AT333" t="s">
        <v>4627</v>
      </c>
      <c r="AU333">
        <v>2001</v>
      </c>
      <c r="AV333">
        <v>33</v>
      </c>
      <c r="AW333">
        <v>3</v>
      </c>
      <c r="AX333" t="s">
        <v>74</v>
      </c>
      <c r="AY333" t="s">
        <v>74</v>
      </c>
      <c r="AZ333" t="s">
        <v>74</v>
      </c>
      <c r="BA333" t="s">
        <v>74</v>
      </c>
      <c r="BB333">
        <v>330</v>
      </c>
      <c r="BC333">
        <v>339</v>
      </c>
      <c r="BD333" t="s">
        <v>74</v>
      </c>
      <c r="BE333" t="s">
        <v>4778</v>
      </c>
      <c r="BF333" t="str">
        <f>HYPERLINK("http://dx.doi.org/10.2307/1552240","http://dx.doi.org/10.2307/1552240")</f>
        <v>http://dx.doi.org/10.2307/1552240</v>
      </c>
      <c r="BG333" t="s">
        <v>74</v>
      </c>
      <c r="BH333" t="s">
        <v>74</v>
      </c>
      <c r="BI333">
        <v>10</v>
      </c>
      <c r="BJ333" t="s">
        <v>798</v>
      </c>
      <c r="BK333" t="s">
        <v>88</v>
      </c>
      <c r="BL333" t="s">
        <v>799</v>
      </c>
      <c r="BM333" t="s">
        <v>4687</v>
      </c>
      <c r="BN333" t="s">
        <v>74</v>
      </c>
      <c r="BO333" t="s">
        <v>171</v>
      </c>
      <c r="BP333" t="s">
        <v>74</v>
      </c>
      <c r="BQ333" t="s">
        <v>74</v>
      </c>
      <c r="BR333" t="s">
        <v>91</v>
      </c>
      <c r="BS333" t="s">
        <v>4779</v>
      </c>
      <c r="BT333" t="str">
        <f>HYPERLINK("https%3A%2F%2Fwww.webofscience.com%2Fwos%2Fwoscc%2Ffull-record%2FWOS:000170836200010","View Full Record in Web of Science")</f>
        <v>View Full Record in Web of Science</v>
      </c>
    </row>
    <row r="334" spans="1:72" x14ac:dyDescent="0.15">
      <c r="A334" t="s">
        <v>72</v>
      </c>
      <c r="B334" t="s">
        <v>4780</v>
      </c>
      <c r="C334" t="s">
        <v>74</v>
      </c>
      <c r="D334" t="s">
        <v>74</v>
      </c>
      <c r="E334" t="s">
        <v>74</v>
      </c>
      <c r="F334" t="s">
        <v>4780</v>
      </c>
      <c r="G334" t="s">
        <v>74</v>
      </c>
      <c r="H334" t="s">
        <v>74</v>
      </c>
      <c r="I334" t="s">
        <v>4781</v>
      </c>
      <c r="J334" t="s">
        <v>784</v>
      </c>
      <c r="K334" t="s">
        <v>74</v>
      </c>
      <c r="L334" t="s">
        <v>74</v>
      </c>
      <c r="M334" t="s">
        <v>77</v>
      </c>
      <c r="N334" t="s">
        <v>120</v>
      </c>
      <c r="O334" t="s">
        <v>74</v>
      </c>
      <c r="P334" t="s">
        <v>74</v>
      </c>
      <c r="Q334" t="s">
        <v>74</v>
      </c>
      <c r="R334" t="s">
        <v>74</v>
      </c>
      <c r="S334" t="s">
        <v>74</v>
      </c>
      <c r="T334" t="s">
        <v>74</v>
      </c>
      <c r="U334" t="s">
        <v>4782</v>
      </c>
      <c r="V334" t="s">
        <v>4783</v>
      </c>
      <c r="W334" t="s">
        <v>4784</v>
      </c>
      <c r="X334" t="s">
        <v>4785</v>
      </c>
      <c r="Y334" t="s">
        <v>4786</v>
      </c>
      <c r="Z334" t="s">
        <v>74</v>
      </c>
      <c r="AA334" t="s">
        <v>74</v>
      </c>
      <c r="AB334" t="s">
        <v>74</v>
      </c>
      <c r="AC334" t="s">
        <v>74</v>
      </c>
      <c r="AD334" t="s">
        <v>74</v>
      </c>
      <c r="AE334" t="s">
        <v>74</v>
      </c>
      <c r="AF334" t="s">
        <v>74</v>
      </c>
      <c r="AG334">
        <v>30</v>
      </c>
      <c r="AH334">
        <v>26</v>
      </c>
      <c r="AI334">
        <v>29</v>
      </c>
      <c r="AJ334">
        <v>2</v>
      </c>
      <c r="AK334">
        <v>31</v>
      </c>
      <c r="AL334" t="s">
        <v>791</v>
      </c>
      <c r="AM334" t="s">
        <v>792</v>
      </c>
      <c r="AN334" t="s">
        <v>793</v>
      </c>
      <c r="AO334" t="s">
        <v>794</v>
      </c>
      <c r="AP334" t="s">
        <v>74</v>
      </c>
      <c r="AQ334" t="s">
        <v>74</v>
      </c>
      <c r="AR334" t="s">
        <v>795</v>
      </c>
      <c r="AS334" t="s">
        <v>796</v>
      </c>
      <c r="AT334" t="s">
        <v>4627</v>
      </c>
      <c r="AU334">
        <v>2001</v>
      </c>
      <c r="AV334">
        <v>33</v>
      </c>
      <c r="AW334">
        <v>3</v>
      </c>
      <c r="AX334" t="s">
        <v>74</v>
      </c>
      <c r="AY334" t="s">
        <v>74</v>
      </c>
      <c r="AZ334" t="s">
        <v>74</v>
      </c>
      <c r="BA334" t="s">
        <v>74</v>
      </c>
      <c r="BB334">
        <v>340</v>
      </c>
      <c r="BC334">
        <v>347</v>
      </c>
      <c r="BD334" t="s">
        <v>74</v>
      </c>
      <c r="BE334" t="s">
        <v>4787</v>
      </c>
      <c r="BF334" t="str">
        <f>HYPERLINK("http://dx.doi.org/10.2307/1552241","http://dx.doi.org/10.2307/1552241")</f>
        <v>http://dx.doi.org/10.2307/1552241</v>
      </c>
      <c r="BG334" t="s">
        <v>74</v>
      </c>
      <c r="BH334" t="s">
        <v>74</v>
      </c>
      <c r="BI334">
        <v>8</v>
      </c>
      <c r="BJ334" t="s">
        <v>798</v>
      </c>
      <c r="BK334" t="s">
        <v>88</v>
      </c>
      <c r="BL334" t="s">
        <v>799</v>
      </c>
      <c r="BM334" t="s">
        <v>4687</v>
      </c>
      <c r="BN334" t="s">
        <v>74</v>
      </c>
      <c r="BO334" t="s">
        <v>74</v>
      </c>
      <c r="BP334" t="s">
        <v>74</v>
      </c>
      <c r="BQ334" t="s">
        <v>74</v>
      </c>
      <c r="BR334" t="s">
        <v>91</v>
      </c>
      <c r="BS334" t="s">
        <v>4788</v>
      </c>
      <c r="BT334" t="str">
        <f>HYPERLINK("https%3A%2F%2Fwww.webofscience.com%2Fwos%2Fwoscc%2Ffull-record%2FWOS:000170836200011","View Full Record in Web of Science")</f>
        <v>View Full Record in Web of Science</v>
      </c>
    </row>
    <row r="335" spans="1:72" x14ac:dyDescent="0.15">
      <c r="A335" t="s">
        <v>72</v>
      </c>
      <c r="B335" t="s">
        <v>4789</v>
      </c>
      <c r="C335" t="s">
        <v>74</v>
      </c>
      <c r="D335" t="s">
        <v>74</v>
      </c>
      <c r="E335" t="s">
        <v>74</v>
      </c>
      <c r="F335" t="s">
        <v>4789</v>
      </c>
      <c r="G335" t="s">
        <v>74</v>
      </c>
      <c r="H335" t="s">
        <v>74</v>
      </c>
      <c r="I335" t="s">
        <v>4790</v>
      </c>
      <c r="J335" t="s">
        <v>784</v>
      </c>
      <c r="K335" t="s">
        <v>74</v>
      </c>
      <c r="L335" t="s">
        <v>74</v>
      </c>
      <c r="M335" t="s">
        <v>77</v>
      </c>
      <c r="N335" t="s">
        <v>120</v>
      </c>
      <c r="O335" t="s">
        <v>74</v>
      </c>
      <c r="P335" t="s">
        <v>74</v>
      </c>
      <c r="Q335" t="s">
        <v>74</v>
      </c>
      <c r="R335" t="s">
        <v>74</v>
      </c>
      <c r="S335" t="s">
        <v>74</v>
      </c>
      <c r="T335" t="s">
        <v>74</v>
      </c>
      <c r="U335" t="s">
        <v>4791</v>
      </c>
      <c r="V335" t="s">
        <v>4792</v>
      </c>
      <c r="W335" t="s">
        <v>4793</v>
      </c>
      <c r="X335" t="s">
        <v>419</v>
      </c>
      <c r="Y335" t="s">
        <v>4794</v>
      </c>
      <c r="Z335" t="s">
        <v>4795</v>
      </c>
      <c r="AA335" t="s">
        <v>74</v>
      </c>
      <c r="AB335" t="s">
        <v>4796</v>
      </c>
      <c r="AC335" t="s">
        <v>74</v>
      </c>
      <c r="AD335" t="s">
        <v>74</v>
      </c>
      <c r="AE335" t="s">
        <v>74</v>
      </c>
      <c r="AF335" t="s">
        <v>74</v>
      </c>
      <c r="AG335">
        <v>22</v>
      </c>
      <c r="AH335">
        <v>24</v>
      </c>
      <c r="AI335">
        <v>27</v>
      </c>
      <c r="AJ335">
        <v>0</v>
      </c>
      <c r="AK335">
        <v>24</v>
      </c>
      <c r="AL335" t="s">
        <v>791</v>
      </c>
      <c r="AM335" t="s">
        <v>792</v>
      </c>
      <c r="AN335" t="s">
        <v>793</v>
      </c>
      <c r="AO335" t="s">
        <v>794</v>
      </c>
      <c r="AP335" t="s">
        <v>74</v>
      </c>
      <c r="AQ335" t="s">
        <v>74</v>
      </c>
      <c r="AR335" t="s">
        <v>795</v>
      </c>
      <c r="AS335" t="s">
        <v>796</v>
      </c>
      <c r="AT335" t="s">
        <v>4627</v>
      </c>
      <c r="AU335">
        <v>2001</v>
      </c>
      <c r="AV335">
        <v>33</v>
      </c>
      <c r="AW335">
        <v>3</v>
      </c>
      <c r="AX335" t="s">
        <v>74</v>
      </c>
      <c r="AY335" t="s">
        <v>74</v>
      </c>
      <c r="AZ335" t="s">
        <v>74</v>
      </c>
      <c r="BA335" t="s">
        <v>74</v>
      </c>
      <c r="BB335">
        <v>348</v>
      </c>
      <c r="BC335">
        <v>356</v>
      </c>
      <c r="BD335" t="s">
        <v>74</v>
      </c>
      <c r="BE335" t="s">
        <v>4797</v>
      </c>
      <c r="BF335" t="str">
        <f>HYPERLINK("http://dx.doi.org/10.2307/1552242","http://dx.doi.org/10.2307/1552242")</f>
        <v>http://dx.doi.org/10.2307/1552242</v>
      </c>
      <c r="BG335" t="s">
        <v>74</v>
      </c>
      <c r="BH335" t="s">
        <v>74</v>
      </c>
      <c r="BI335">
        <v>9</v>
      </c>
      <c r="BJ335" t="s">
        <v>798</v>
      </c>
      <c r="BK335" t="s">
        <v>88</v>
      </c>
      <c r="BL335" t="s">
        <v>799</v>
      </c>
      <c r="BM335" t="s">
        <v>4687</v>
      </c>
      <c r="BN335" t="s">
        <v>74</v>
      </c>
      <c r="BO335" t="s">
        <v>74</v>
      </c>
      <c r="BP335" t="s">
        <v>74</v>
      </c>
      <c r="BQ335" t="s">
        <v>74</v>
      </c>
      <c r="BR335" t="s">
        <v>91</v>
      </c>
      <c r="BS335" t="s">
        <v>4798</v>
      </c>
      <c r="BT335" t="str">
        <f>HYPERLINK("https%3A%2F%2Fwww.webofscience.com%2Fwos%2Fwoscc%2Ffull-record%2FWOS:000170836200012","View Full Record in Web of Science")</f>
        <v>View Full Record in Web of Science</v>
      </c>
    </row>
    <row r="336" spans="1:72" x14ac:dyDescent="0.15">
      <c r="A336" t="s">
        <v>72</v>
      </c>
      <c r="B336" t="s">
        <v>4799</v>
      </c>
      <c r="C336" t="s">
        <v>74</v>
      </c>
      <c r="D336" t="s">
        <v>74</v>
      </c>
      <c r="E336" t="s">
        <v>74</v>
      </c>
      <c r="F336" t="s">
        <v>4799</v>
      </c>
      <c r="G336" t="s">
        <v>74</v>
      </c>
      <c r="H336" t="s">
        <v>74</v>
      </c>
      <c r="I336" t="s">
        <v>4800</v>
      </c>
      <c r="J336" t="s">
        <v>784</v>
      </c>
      <c r="K336" t="s">
        <v>74</v>
      </c>
      <c r="L336" t="s">
        <v>74</v>
      </c>
      <c r="M336" t="s">
        <v>77</v>
      </c>
      <c r="N336" t="s">
        <v>120</v>
      </c>
      <c r="O336" t="s">
        <v>74</v>
      </c>
      <c r="P336" t="s">
        <v>74</v>
      </c>
      <c r="Q336" t="s">
        <v>74</v>
      </c>
      <c r="R336" t="s">
        <v>74</v>
      </c>
      <c r="S336" t="s">
        <v>74</v>
      </c>
      <c r="T336" t="s">
        <v>74</v>
      </c>
      <c r="U336" t="s">
        <v>4801</v>
      </c>
      <c r="V336" t="s">
        <v>4802</v>
      </c>
      <c r="W336" t="s">
        <v>4803</v>
      </c>
      <c r="X336" t="s">
        <v>4804</v>
      </c>
      <c r="Y336" t="s">
        <v>4805</v>
      </c>
      <c r="Z336" t="s">
        <v>4806</v>
      </c>
      <c r="AA336" t="s">
        <v>4807</v>
      </c>
      <c r="AB336" t="s">
        <v>74</v>
      </c>
      <c r="AC336" t="s">
        <v>74</v>
      </c>
      <c r="AD336" t="s">
        <v>74</v>
      </c>
      <c r="AE336" t="s">
        <v>74</v>
      </c>
      <c r="AF336" t="s">
        <v>74</v>
      </c>
      <c r="AG336">
        <v>66</v>
      </c>
      <c r="AH336">
        <v>18</v>
      </c>
      <c r="AI336">
        <v>19</v>
      </c>
      <c r="AJ336">
        <v>0</v>
      </c>
      <c r="AK336">
        <v>15</v>
      </c>
      <c r="AL336" t="s">
        <v>104</v>
      </c>
      <c r="AM336" t="s">
        <v>105</v>
      </c>
      <c r="AN336" t="s">
        <v>106</v>
      </c>
      <c r="AO336" t="s">
        <v>794</v>
      </c>
      <c r="AP336" t="s">
        <v>814</v>
      </c>
      <c r="AQ336" t="s">
        <v>74</v>
      </c>
      <c r="AR336" t="s">
        <v>795</v>
      </c>
      <c r="AS336" t="s">
        <v>796</v>
      </c>
      <c r="AT336" t="s">
        <v>4627</v>
      </c>
      <c r="AU336">
        <v>2001</v>
      </c>
      <c r="AV336">
        <v>33</v>
      </c>
      <c r="AW336">
        <v>3</v>
      </c>
      <c r="AX336" t="s">
        <v>74</v>
      </c>
      <c r="AY336" t="s">
        <v>74</v>
      </c>
      <c r="AZ336" t="s">
        <v>74</v>
      </c>
      <c r="BA336" t="s">
        <v>74</v>
      </c>
      <c r="BB336">
        <v>357</v>
      </c>
      <c r="BC336">
        <v>368</v>
      </c>
      <c r="BD336" t="s">
        <v>74</v>
      </c>
      <c r="BE336" t="s">
        <v>4808</v>
      </c>
      <c r="BF336" t="str">
        <f>HYPERLINK("http://dx.doi.org/10.2307/1552243","http://dx.doi.org/10.2307/1552243")</f>
        <v>http://dx.doi.org/10.2307/1552243</v>
      </c>
      <c r="BG336" t="s">
        <v>74</v>
      </c>
      <c r="BH336" t="s">
        <v>74</v>
      </c>
      <c r="BI336">
        <v>12</v>
      </c>
      <c r="BJ336" t="s">
        <v>798</v>
      </c>
      <c r="BK336" t="s">
        <v>88</v>
      </c>
      <c r="BL336" t="s">
        <v>799</v>
      </c>
      <c r="BM336" t="s">
        <v>4687</v>
      </c>
      <c r="BN336" t="s">
        <v>74</v>
      </c>
      <c r="BO336" t="s">
        <v>171</v>
      </c>
      <c r="BP336" t="s">
        <v>74</v>
      </c>
      <c r="BQ336" t="s">
        <v>74</v>
      </c>
      <c r="BR336" t="s">
        <v>91</v>
      </c>
      <c r="BS336" t="s">
        <v>4809</v>
      </c>
      <c r="BT336" t="str">
        <f>HYPERLINK("https%3A%2F%2Fwww.webofscience.com%2Fwos%2Fwoscc%2Ffull-record%2FWOS:000170836200013","View Full Record in Web of Science")</f>
        <v>View Full Record in Web of Science</v>
      </c>
    </row>
    <row r="337" spans="1:72" x14ac:dyDescent="0.15">
      <c r="A337" t="s">
        <v>72</v>
      </c>
      <c r="B337" t="s">
        <v>4810</v>
      </c>
      <c r="C337" t="s">
        <v>74</v>
      </c>
      <c r="D337" t="s">
        <v>74</v>
      </c>
      <c r="E337" t="s">
        <v>74</v>
      </c>
      <c r="F337" t="s">
        <v>4810</v>
      </c>
      <c r="G337" t="s">
        <v>74</v>
      </c>
      <c r="H337" t="s">
        <v>74</v>
      </c>
      <c r="I337" t="s">
        <v>4811</v>
      </c>
      <c r="J337" t="s">
        <v>784</v>
      </c>
      <c r="K337" t="s">
        <v>74</v>
      </c>
      <c r="L337" t="s">
        <v>74</v>
      </c>
      <c r="M337" t="s">
        <v>77</v>
      </c>
      <c r="N337" t="s">
        <v>120</v>
      </c>
      <c r="O337" t="s">
        <v>74</v>
      </c>
      <c r="P337" t="s">
        <v>74</v>
      </c>
      <c r="Q337" t="s">
        <v>74</v>
      </c>
      <c r="R337" t="s">
        <v>74</v>
      </c>
      <c r="S337" t="s">
        <v>74</v>
      </c>
      <c r="T337" t="s">
        <v>74</v>
      </c>
      <c r="U337" t="s">
        <v>4812</v>
      </c>
      <c r="V337" t="s">
        <v>4813</v>
      </c>
      <c r="W337" t="s">
        <v>4814</v>
      </c>
      <c r="X337" t="s">
        <v>4815</v>
      </c>
      <c r="Y337" t="s">
        <v>4816</v>
      </c>
      <c r="Z337" t="s">
        <v>74</v>
      </c>
      <c r="AA337" t="s">
        <v>74</v>
      </c>
      <c r="AB337" t="s">
        <v>74</v>
      </c>
      <c r="AC337" t="s">
        <v>74</v>
      </c>
      <c r="AD337" t="s">
        <v>74</v>
      </c>
      <c r="AE337" t="s">
        <v>74</v>
      </c>
      <c r="AF337" t="s">
        <v>74</v>
      </c>
      <c r="AG337">
        <v>42</v>
      </c>
      <c r="AH337">
        <v>36</v>
      </c>
      <c r="AI337">
        <v>39</v>
      </c>
      <c r="AJ337">
        <v>2</v>
      </c>
      <c r="AK337">
        <v>34</v>
      </c>
      <c r="AL337" t="s">
        <v>791</v>
      </c>
      <c r="AM337" t="s">
        <v>792</v>
      </c>
      <c r="AN337" t="s">
        <v>793</v>
      </c>
      <c r="AO337" t="s">
        <v>794</v>
      </c>
      <c r="AP337" t="s">
        <v>74</v>
      </c>
      <c r="AQ337" t="s">
        <v>74</v>
      </c>
      <c r="AR337" t="s">
        <v>795</v>
      </c>
      <c r="AS337" t="s">
        <v>796</v>
      </c>
      <c r="AT337" t="s">
        <v>4627</v>
      </c>
      <c r="AU337">
        <v>2001</v>
      </c>
      <c r="AV337">
        <v>33</v>
      </c>
      <c r="AW337">
        <v>3</v>
      </c>
      <c r="AX337" t="s">
        <v>74</v>
      </c>
      <c r="AY337" t="s">
        <v>74</v>
      </c>
      <c r="AZ337" t="s">
        <v>74</v>
      </c>
      <c r="BA337" t="s">
        <v>74</v>
      </c>
      <c r="BB337">
        <v>369</v>
      </c>
      <c r="BC337">
        <v>377</v>
      </c>
      <c r="BD337" t="s">
        <v>74</v>
      </c>
      <c r="BE337" t="s">
        <v>4817</v>
      </c>
      <c r="BF337" t="str">
        <f>HYPERLINK("http://dx.doi.org/10.2307/1552244","http://dx.doi.org/10.2307/1552244")</f>
        <v>http://dx.doi.org/10.2307/1552244</v>
      </c>
      <c r="BG337" t="s">
        <v>74</v>
      </c>
      <c r="BH337" t="s">
        <v>74</v>
      </c>
      <c r="BI337">
        <v>9</v>
      </c>
      <c r="BJ337" t="s">
        <v>798</v>
      </c>
      <c r="BK337" t="s">
        <v>88</v>
      </c>
      <c r="BL337" t="s">
        <v>799</v>
      </c>
      <c r="BM337" t="s">
        <v>4687</v>
      </c>
      <c r="BN337" t="s">
        <v>74</v>
      </c>
      <c r="BO337" t="s">
        <v>171</v>
      </c>
      <c r="BP337" t="s">
        <v>74</v>
      </c>
      <c r="BQ337" t="s">
        <v>74</v>
      </c>
      <c r="BR337" t="s">
        <v>91</v>
      </c>
      <c r="BS337" t="s">
        <v>4818</v>
      </c>
      <c r="BT337" t="str">
        <f>HYPERLINK("https%3A%2F%2Fwww.webofscience.com%2Fwos%2Fwoscc%2Ffull-record%2FWOS:000170836200014","View Full Record in Web of Science")</f>
        <v>View Full Record in Web of Science</v>
      </c>
    </row>
    <row r="338" spans="1:72" x14ac:dyDescent="0.15">
      <c r="A338" t="s">
        <v>72</v>
      </c>
      <c r="B338" t="s">
        <v>4819</v>
      </c>
      <c r="C338" t="s">
        <v>74</v>
      </c>
      <c r="D338" t="s">
        <v>74</v>
      </c>
      <c r="E338" t="s">
        <v>74</v>
      </c>
      <c r="F338" t="s">
        <v>4819</v>
      </c>
      <c r="G338" t="s">
        <v>74</v>
      </c>
      <c r="H338" t="s">
        <v>74</v>
      </c>
      <c r="I338" t="s">
        <v>4820</v>
      </c>
      <c r="J338" t="s">
        <v>784</v>
      </c>
      <c r="K338" t="s">
        <v>74</v>
      </c>
      <c r="L338" t="s">
        <v>74</v>
      </c>
      <c r="M338" t="s">
        <v>77</v>
      </c>
      <c r="N338" t="s">
        <v>4821</v>
      </c>
      <c r="O338" t="s">
        <v>74</v>
      </c>
      <c r="P338" t="s">
        <v>74</v>
      </c>
      <c r="Q338" t="s">
        <v>74</v>
      </c>
      <c r="R338" t="s">
        <v>74</v>
      </c>
      <c r="S338" t="s">
        <v>74</v>
      </c>
      <c r="T338" t="s">
        <v>74</v>
      </c>
      <c r="U338" t="s">
        <v>74</v>
      </c>
      <c r="V338" t="s">
        <v>74</v>
      </c>
      <c r="W338" t="s">
        <v>74</v>
      </c>
      <c r="X338" t="s">
        <v>74</v>
      </c>
      <c r="Y338" t="s">
        <v>74</v>
      </c>
      <c r="Z338" t="s">
        <v>74</v>
      </c>
      <c r="AA338" t="s">
        <v>74</v>
      </c>
      <c r="AB338" t="s">
        <v>74</v>
      </c>
      <c r="AC338" t="s">
        <v>74</v>
      </c>
      <c r="AD338" t="s">
        <v>74</v>
      </c>
      <c r="AE338" t="s">
        <v>74</v>
      </c>
      <c r="AF338" t="s">
        <v>74</v>
      </c>
      <c r="AG338">
        <v>1</v>
      </c>
      <c r="AH338">
        <v>0</v>
      </c>
      <c r="AI338">
        <v>0</v>
      </c>
      <c r="AJ338">
        <v>0</v>
      </c>
      <c r="AK338">
        <v>1</v>
      </c>
      <c r="AL338" t="s">
        <v>791</v>
      </c>
      <c r="AM338" t="s">
        <v>792</v>
      </c>
      <c r="AN338" t="s">
        <v>793</v>
      </c>
      <c r="AO338" t="s">
        <v>794</v>
      </c>
      <c r="AP338" t="s">
        <v>74</v>
      </c>
      <c r="AQ338" t="s">
        <v>74</v>
      </c>
      <c r="AR338" t="s">
        <v>795</v>
      </c>
      <c r="AS338" t="s">
        <v>796</v>
      </c>
      <c r="AT338" t="s">
        <v>4627</v>
      </c>
      <c r="AU338">
        <v>2001</v>
      </c>
      <c r="AV338">
        <v>33</v>
      </c>
      <c r="AW338">
        <v>3</v>
      </c>
      <c r="AX338" t="s">
        <v>74</v>
      </c>
      <c r="AY338" t="s">
        <v>74</v>
      </c>
      <c r="AZ338" t="s">
        <v>74</v>
      </c>
      <c r="BA338" t="s">
        <v>74</v>
      </c>
      <c r="BB338">
        <v>378</v>
      </c>
      <c r="BC338">
        <v>379</v>
      </c>
      <c r="BD338" t="s">
        <v>74</v>
      </c>
      <c r="BE338" t="s">
        <v>4822</v>
      </c>
      <c r="BF338" t="str">
        <f>HYPERLINK("http://dx.doi.org/10.1080/15230430.2001.12003442","http://dx.doi.org/10.1080/15230430.2001.12003442")</f>
        <v>http://dx.doi.org/10.1080/15230430.2001.12003442</v>
      </c>
      <c r="BG338" t="s">
        <v>74</v>
      </c>
      <c r="BH338" t="s">
        <v>74</v>
      </c>
      <c r="BI338">
        <v>2</v>
      </c>
      <c r="BJ338" t="s">
        <v>798</v>
      </c>
      <c r="BK338" t="s">
        <v>88</v>
      </c>
      <c r="BL338" t="s">
        <v>799</v>
      </c>
      <c r="BM338" t="s">
        <v>4687</v>
      </c>
      <c r="BN338" t="s">
        <v>74</v>
      </c>
      <c r="BO338" t="s">
        <v>171</v>
      </c>
      <c r="BP338" t="s">
        <v>74</v>
      </c>
      <c r="BQ338" t="s">
        <v>74</v>
      </c>
      <c r="BR338" t="s">
        <v>91</v>
      </c>
      <c r="BS338" t="s">
        <v>4823</v>
      </c>
      <c r="BT338" t="str">
        <f>HYPERLINK("https%3A%2F%2Fwww.webofscience.com%2Fwos%2Fwoscc%2Ffull-record%2FWOS:000170836200015","View Full Record in Web of Science")</f>
        <v>View Full Record in Web of Science</v>
      </c>
    </row>
    <row r="339" spans="1:72" x14ac:dyDescent="0.15">
      <c r="A339" t="s">
        <v>72</v>
      </c>
      <c r="B339" t="s">
        <v>4824</v>
      </c>
      <c r="C339" t="s">
        <v>74</v>
      </c>
      <c r="D339" t="s">
        <v>74</v>
      </c>
      <c r="E339" t="s">
        <v>74</v>
      </c>
      <c r="F339" t="s">
        <v>4824</v>
      </c>
      <c r="G339" t="s">
        <v>74</v>
      </c>
      <c r="H339" t="s">
        <v>74</v>
      </c>
      <c r="I339" t="s">
        <v>4825</v>
      </c>
      <c r="J339" t="s">
        <v>2086</v>
      </c>
      <c r="K339" t="s">
        <v>74</v>
      </c>
      <c r="L339" t="s">
        <v>74</v>
      </c>
      <c r="M339" t="s">
        <v>77</v>
      </c>
      <c r="N339" t="s">
        <v>120</v>
      </c>
      <c r="O339" t="s">
        <v>74</v>
      </c>
      <c r="P339" t="s">
        <v>74</v>
      </c>
      <c r="Q339" t="s">
        <v>74</v>
      </c>
      <c r="R339" t="s">
        <v>74</v>
      </c>
      <c r="S339" t="s">
        <v>74</v>
      </c>
      <c r="T339" t="s">
        <v>4826</v>
      </c>
      <c r="U339" t="s">
        <v>4827</v>
      </c>
      <c r="V339" t="s">
        <v>4828</v>
      </c>
      <c r="W339" t="s">
        <v>4829</v>
      </c>
      <c r="X339" t="s">
        <v>4830</v>
      </c>
      <c r="Y339" t="s">
        <v>4831</v>
      </c>
      <c r="Z339" t="s">
        <v>74</v>
      </c>
      <c r="AA339" t="s">
        <v>74</v>
      </c>
      <c r="AB339" t="s">
        <v>4832</v>
      </c>
      <c r="AC339" t="s">
        <v>74</v>
      </c>
      <c r="AD339" t="s">
        <v>74</v>
      </c>
      <c r="AE339" t="s">
        <v>74</v>
      </c>
      <c r="AF339" t="s">
        <v>74</v>
      </c>
      <c r="AG339">
        <v>37</v>
      </c>
      <c r="AH339">
        <v>33</v>
      </c>
      <c r="AI339">
        <v>36</v>
      </c>
      <c r="AJ339">
        <v>0</v>
      </c>
      <c r="AK339">
        <v>12</v>
      </c>
      <c r="AL339" t="s">
        <v>4833</v>
      </c>
      <c r="AM339" t="s">
        <v>2093</v>
      </c>
      <c r="AN339" t="s">
        <v>2094</v>
      </c>
      <c r="AO339" t="s">
        <v>2095</v>
      </c>
      <c r="AP339" t="s">
        <v>74</v>
      </c>
      <c r="AQ339" t="s">
        <v>74</v>
      </c>
      <c r="AR339" t="s">
        <v>2096</v>
      </c>
      <c r="AS339" t="s">
        <v>2097</v>
      </c>
      <c r="AT339" t="s">
        <v>4627</v>
      </c>
      <c r="AU339">
        <v>2001</v>
      </c>
      <c r="AV339">
        <v>48</v>
      </c>
      <c r="AW339">
        <v>4</v>
      </c>
      <c r="AX339" t="s">
        <v>74</v>
      </c>
      <c r="AY339" t="s">
        <v>74</v>
      </c>
      <c r="AZ339" t="s">
        <v>74</v>
      </c>
      <c r="BA339" t="s">
        <v>74</v>
      </c>
      <c r="BB339">
        <v>543</v>
      </c>
      <c r="BC339">
        <v>549</v>
      </c>
      <c r="BD339" t="s">
        <v>74</v>
      </c>
      <c r="BE339" t="s">
        <v>4834</v>
      </c>
      <c r="BF339" t="str">
        <f>HYPERLINK("http://dx.doi.org/10.1046/j.1440-0952.2001.00875.x","http://dx.doi.org/10.1046/j.1440-0952.2001.00875.x")</f>
        <v>http://dx.doi.org/10.1046/j.1440-0952.2001.00875.x</v>
      </c>
      <c r="BG339" t="s">
        <v>74</v>
      </c>
      <c r="BH339" t="s">
        <v>74</v>
      </c>
      <c r="BI339">
        <v>7</v>
      </c>
      <c r="BJ339" t="s">
        <v>300</v>
      </c>
      <c r="BK339" t="s">
        <v>88</v>
      </c>
      <c r="BL339" t="s">
        <v>113</v>
      </c>
      <c r="BM339" t="s">
        <v>4835</v>
      </c>
      <c r="BN339" t="s">
        <v>74</v>
      </c>
      <c r="BO339" t="s">
        <v>74</v>
      </c>
      <c r="BP339" t="s">
        <v>74</v>
      </c>
      <c r="BQ339" t="s">
        <v>74</v>
      </c>
      <c r="BR339" t="s">
        <v>91</v>
      </c>
      <c r="BS339" t="s">
        <v>4836</v>
      </c>
      <c r="BT339" t="str">
        <f>HYPERLINK("https%3A%2F%2Fwww.webofscience.com%2Fwos%2Fwoscc%2Ffull-record%2FWOS:000170416100006","View Full Record in Web of Science")</f>
        <v>View Full Record in Web of Science</v>
      </c>
    </row>
    <row r="340" spans="1:72" x14ac:dyDescent="0.15">
      <c r="A340" t="s">
        <v>72</v>
      </c>
      <c r="B340" t="s">
        <v>4837</v>
      </c>
      <c r="C340" t="s">
        <v>74</v>
      </c>
      <c r="D340" t="s">
        <v>74</v>
      </c>
      <c r="E340" t="s">
        <v>74</v>
      </c>
      <c r="F340" t="s">
        <v>4837</v>
      </c>
      <c r="G340" t="s">
        <v>74</v>
      </c>
      <c r="H340" t="s">
        <v>74</v>
      </c>
      <c r="I340" t="s">
        <v>4838</v>
      </c>
      <c r="J340" t="s">
        <v>4839</v>
      </c>
      <c r="K340" t="s">
        <v>74</v>
      </c>
      <c r="L340" t="s">
        <v>74</v>
      </c>
      <c r="M340" t="s">
        <v>77</v>
      </c>
      <c r="N340" t="s">
        <v>120</v>
      </c>
      <c r="O340" t="s">
        <v>74</v>
      </c>
      <c r="P340" t="s">
        <v>74</v>
      </c>
      <c r="Q340" t="s">
        <v>74</v>
      </c>
      <c r="R340" t="s">
        <v>74</v>
      </c>
      <c r="S340" t="s">
        <v>74</v>
      </c>
      <c r="T340" t="s">
        <v>4840</v>
      </c>
      <c r="U340" t="s">
        <v>4841</v>
      </c>
      <c r="V340" t="s">
        <v>4842</v>
      </c>
      <c r="W340" t="s">
        <v>4843</v>
      </c>
      <c r="X340" t="s">
        <v>4844</v>
      </c>
      <c r="Y340" t="s">
        <v>4845</v>
      </c>
      <c r="Z340" t="s">
        <v>74</v>
      </c>
      <c r="AA340" t="s">
        <v>74</v>
      </c>
      <c r="AB340" t="s">
        <v>4846</v>
      </c>
      <c r="AC340" t="s">
        <v>74</v>
      </c>
      <c r="AD340" t="s">
        <v>74</v>
      </c>
      <c r="AE340" t="s">
        <v>74</v>
      </c>
      <c r="AF340" t="s">
        <v>74</v>
      </c>
      <c r="AG340">
        <v>49</v>
      </c>
      <c r="AH340">
        <v>8</v>
      </c>
      <c r="AI340">
        <v>9</v>
      </c>
      <c r="AJ340">
        <v>0</v>
      </c>
      <c r="AK340">
        <v>6</v>
      </c>
      <c r="AL340" t="s">
        <v>4847</v>
      </c>
      <c r="AM340" t="s">
        <v>204</v>
      </c>
      <c r="AN340" t="s">
        <v>4848</v>
      </c>
      <c r="AO340" t="s">
        <v>4849</v>
      </c>
      <c r="AP340" t="s">
        <v>74</v>
      </c>
      <c r="AQ340" t="s">
        <v>74</v>
      </c>
      <c r="AR340" t="s">
        <v>4850</v>
      </c>
      <c r="AS340" t="s">
        <v>4851</v>
      </c>
      <c r="AT340" t="s">
        <v>4627</v>
      </c>
      <c r="AU340">
        <v>2001</v>
      </c>
      <c r="AV340">
        <v>130</v>
      </c>
      <c r="AW340">
        <v>1</v>
      </c>
      <c r="AX340" t="s">
        <v>74</v>
      </c>
      <c r="AY340" t="s">
        <v>74</v>
      </c>
      <c r="AZ340" t="s">
        <v>74</v>
      </c>
      <c r="BA340" t="s">
        <v>74</v>
      </c>
      <c r="BB340">
        <v>123</v>
      </c>
      <c r="BC340">
        <v>132</v>
      </c>
      <c r="BD340" t="s">
        <v>74</v>
      </c>
      <c r="BE340" t="s">
        <v>4852</v>
      </c>
      <c r="BF340" t="str">
        <f>HYPERLINK("http://dx.doi.org/10.1016/S1095-6433(01)00372-5","http://dx.doi.org/10.1016/S1095-6433(01)00372-5")</f>
        <v>http://dx.doi.org/10.1016/S1095-6433(01)00372-5</v>
      </c>
      <c r="BG340" t="s">
        <v>74</v>
      </c>
      <c r="BH340" t="s">
        <v>74</v>
      </c>
      <c r="BI340">
        <v>10</v>
      </c>
      <c r="BJ340" t="s">
        <v>4853</v>
      </c>
      <c r="BK340" t="s">
        <v>88</v>
      </c>
      <c r="BL340" t="s">
        <v>4853</v>
      </c>
      <c r="BM340" t="s">
        <v>4854</v>
      </c>
      <c r="BN340">
        <v>11672688</v>
      </c>
      <c r="BO340" t="s">
        <v>74</v>
      </c>
      <c r="BP340" t="s">
        <v>74</v>
      </c>
      <c r="BQ340" t="s">
        <v>74</v>
      </c>
      <c r="BR340" t="s">
        <v>91</v>
      </c>
      <c r="BS340" t="s">
        <v>4855</v>
      </c>
      <c r="BT340" t="str">
        <f>HYPERLINK("https%3A%2F%2Fwww.webofscience.com%2Fwos%2Fwoscc%2Ffull-record%2FWOS:000170472500011","View Full Record in Web of Science")</f>
        <v>View Full Record in Web of Science</v>
      </c>
    </row>
    <row r="341" spans="1:72" x14ac:dyDescent="0.15">
      <c r="A341" t="s">
        <v>72</v>
      </c>
      <c r="B341" t="s">
        <v>4856</v>
      </c>
      <c r="C341" t="s">
        <v>74</v>
      </c>
      <c r="D341" t="s">
        <v>74</v>
      </c>
      <c r="E341" t="s">
        <v>74</v>
      </c>
      <c r="F341" t="s">
        <v>4856</v>
      </c>
      <c r="G341" t="s">
        <v>74</v>
      </c>
      <c r="H341" t="s">
        <v>74</v>
      </c>
      <c r="I341" t="s">
        <v>4857</v>
      </c>
      <c r="J341" t="s">
        <v>4858</v>
      </c>
      <c r="K341" t="s">
        <v>74</v>
      </c>
      <c r="L341" t="s">
        <v>74</v>
      </c>
      <c r="M341" t="s">
        <v>77</v>
      </c>
      <c r="N341" t="s">
        <v>120</v>
      </c>
      <c r="O341" t="s">
        <v>74</v>
      </c>
      <c r="P341" t="s">
        <v>74</v>
      </c>
      <c r="Q341" t="s">
        <v>74</v>
      </c>
      <c r="R341" t="s">
        <v>74</v>
      </c>
      <c r="S341" t="s">
        <v>74</v>
      </c>
      <c r="T341" t="s">
        <v>4859</v>
      </c>
      <c r="U341" t="s">
        <v>4860</v>
      </c>
      <c r="V341" t="s">
        <v>4861</v>
      </c>
      <c r="W341" t="s">
        <v>4862</v>
      </c>
      <c r="X341" t="s">
        <v>4863</v>
      </c>
      <c r="Y341" t="s">
        <v>4864</v>
      </c>
      <c r="Z341" t="s">
        <v>4865</v>
      </c>
      <c r="AA341" t="s">
        <v>74</v>
      </c>
      <c r="AB341" t="s">
        <v>74</v>
      </c>
      <c r="AC341" t="s">
        <v>74</v>
      </c>
      <c r="AD341" t="s">
        <v>74</v>
      </c>
      <c r="AE341" t="s">
        <v>74</v>
      </c>
      <c r="AF341" t="s">
        <v>74</v>
      </c>
      <c r="AG341">
        <v>20</v>
      </c>
      <c r="AH341">
        <v>52</v>
      </c>
      <c r="AI341">
        <v>62</v>
      </c>
      <c r="AJ341">
        <v>1</v>
      </c>
      <c r="AK341">
        <v>21</v>
      </c>
      <c r="AL341" t="s">
        <v>1132</v>
      </c>
      <c r="AM341" t="s">
        <v>1133</v>
      </c>
      <c r="AN341" t="s">
        <v>1134</v>
      </c>
      <c r="AO341" t="s">
        <v>4866</v>
      </c>
      <c r="AP341" t="s">
        <v>4867</v>
      </c>
      <c r="AQ341" t="s">
        <v>74</v>
      </c>
      <c r="AR341" t="s">
        <v>4858</v>
      </c>
      <c r="AS341" t="s">
        <v>4868</v>
      </c>
      <c r="AT341" t="s">
        <v>4627</v>
      </c>
      <c r="AU341">
        <v>2001</v>
      </c>
      <c r="AV341">
        <v>43</v>
      </c>
      <c r="AW341">
        <v>1</v>
      </c>
      <c r="AX341" t="s">
        <v>74</v>
      </c>
      <c r="AY341" t="s">
        <v>74</v>
      </c>
      <c r="AZ341" t="s">
        <v>74</v>
      </c>
      <c r="BA341" t="s">
        <v>74</v>
      </c>
      <c r="BB341">
        <v>63</v>
      </c>
      <c r="BC341">
        <v>70</v>
      </c>
      <c r="BD341" t="s">
        <v>74</v>
      </c>
      <c r="BE341" t="s">
        <v>4869</v>
      </c>
      <c r="BF341" t="str">
        <f>HYPERLINK("http://dx.doi.org/10.1006/cryo.2001.2341","http://dx.doi.org/10.1006/cryo.2001.2341")</f>
        <v>http://dx.doi.org/10.1006/cryo.2001.2341</v>
      </c>
      <c r="BG341" t="s">
        <v>74</v>
      </c>
      <c r="BH341" t="s">
        <v>74</v>
      </c>
      <c r="BI341">
        <v>8</v>
      </c>
      <c r="BJ341" t="s">
        <v>4870</v>
      </c>
      <c r="BK341" t="s">
        <v>88</v>
      </c>
      <c r="BL341" t="s">
        <v>4871</v>
      </c>
      <c r="BM341" t="s">
        <v>4872</v>
      </c>
      <c r="BN341">
        <v>11812052</v>
      </c>
      <c r="BO341" t="s">
        <v>74</v>
      </c>
      <c r="BP341" t="s">
        <v>74</v>
      </c>
      <c r="BQ341" t="s">
        <v>74</v>
      </c>
      <c r="BR341" t="s">
        <v>91</v>
      </c>
      <c r="BS341" t="s">
        <v>4873</v>
      </c>
      <c r="BT341" t="str">
        <f>HYPERLINK("https%3A%2F%2Fwww.webofscience.com%2Fwos%2Fwoscc%2Ffull-record%2FWOS:000173834000008","View Full Record in Web of Science")</f>
        <v>View Full Record in Web of Science</v>
      </c>
    </row>
    <row r="342" spans="1:72" x14ac:dyDescent="0.15">
      <c r="A342" t="s">
        <v>72</v>
      </c>
      <c r="B342" t="s">
        <v>4874</v>
      </c>
      <c r="C342" t="s">
        <v>74</v>
      </c>
      <c r="D342" t="s">
        <v>74</v>
      </c>
      <c r="E342" t="s">
        <v>74</v>
      </c>
      <c r="F342" t="s">
        <v>4874</v>
      </c>
      <c r="G342" t="s">
        <v>74</v>
      </c>
      <c r="H342" t="s">
        <v>74</v>
      </c>
      <c r="I342" t="s">
        <v>4875</v>
      </c>
      <c r="J342" t="s">
        <v>2155</v>
      </c>
      <c r="K342" t="s">
        <v>74</v>
      </c>
      <c r="L342" t="s">
        <v>74</v>
      </c>
      <c r="M342" t="s">
        <v>77</v>
      </c>
      <c r="N342" t="s">
        <v>120</v>
      </c>
      <c r="O342" t="s">
        <v>74</v>
      </c>
      <c r="P342" t="s">
        <v>74</v>
      </c>
      <c r="Q342" t="s">
        <v>74</v>
      </c>
      <c r="R342" t="s">
        <v>74</v>
      </c>
      <c r="S342" t="s">
        <v>74</v>
      </c>
      <c r="T342" t="s">
        <v>4876</v>
      </c>
      <c r="U342" t="s">
        <v>4877</v>
      </c>
      <c r="V342" t="s">
        <v>4878</v>
      </c>
      <c r="W342" t="s">
        <v>4879</v>
      </c>
      <c r="X342" t="s">
        <v>3362</v>
      </c>
      <c r="Y342" t="s">
        <v>4880</v>
      </c>
      <c r="Z342" t="s">
        <v>74</v>
      </c>
      <c r="AA342" t="s">
        <v>74</v>
      </c>
      <c r="AB342" t="s">
        <v>4881</v>
      </c>
      <c r="AC342" t="s">
        <v>74</v>
      </c>
      <c r="AD342" t="s">
        <v>74</v>
      </c>
      <c r="AE342" t="s">
        <v>74</v>
      </c>
      <c r="AF342" t="s">
        <v>74</v>
      </c>
      <c r="AG342">
        <v>34</v>
      </c>
      <c r="AH342">
        <v>4</v>
      </c>
      <c r="AI342">
        <v>4</v>
      </c>
      <c r="AJ342">
        <v>0</v>
      </c>
      <c r="AK342">
        <v>3</v>
      </c>
      <c r="AL342" t="s">
        <v>488</v>
      </c>
      <c r="AM342" t="s">
        <v>350</v>
      </c>
      <c r="AN342" t="s">
        <v>489</v>
      </c>
      <c r="AO342" t="s">
        <v>2168</v>
      </c>
      <c r="AP342" t="s">
        <v>74</v>
      </c>
      <c r="AQ342" t="s">
        <v>74</v>
      </c>
      <c r="AR342" t="s">
        <v>2169</v>
      </c>
      <c r="AS342" t="s">
        <v>2170</v>
      </c>
      <c r="AT342" t="s">
        <v>4627</v>
      </c>
      <c r="AU342">
        <v>2001</v>
      </c>
      <c r="AV342">
        <v>34</v>
      </c>
      <c r="AW342">
        <v>1</v>
      </c>
      <c r="AX342" t="s">
        <v>74</v>
      </c>
      <c r="AY342" t="s">
        <v>74</v>
      </c>
      <c r="AZ342" t="s">
        <v>74</v>
      </c>
      <c r="BA342" t="s">
        <v>74</v>
      </c>
      <c r="BB342">
        <v>1</v>
      </c>
      <c r="BC342">
        <v>21</v>
      </c>
      <c r="BD342" t="s">
        <v>74</v>
      </c>
      <c r="BE342" t="s">
        <v>4882</v>
      </c>
      <c r="BF342" t="str">
        <f>HYPERLINK("http://dx.doi.org/10.1016/S0377-0265(01)00057-4","http://dx.doi.org/10.1016/S0377-0265(01)00057-4")</f>
        <v>http://dx.doi.org/10.1016/S0377-0265(01)00057-4</v>
      </c>
      <c r="BG342" t="s">
        <v>74</v>
      </c>
      <c r="BH342" t="s">
        <v>74</v>
      </c>
      <c r="BI342">
        <v>21</v>
      </c>
      <c r="BJ342" t="s">
        <v>2173</v>
      </c>
      <c r="BK342" t="s">
        <v>88</v>
      </c>
      <c r="BL342" t="s">
        <v>2173</v>
      </c>
      <c r="BM342" t="s">
        <v>4883</v>
      </c>
      <c r="BN342" t="s">
        <v>74</v>
      </c>
      <c r="BO342" t="s">
        <v>74</v>
      </c>
      <c r="BP342" t="s">
        <v>74</v>
      </c>
      <c r="BQ342" t="s">
        <v>74</v>
      </c>
      <c r="BR342" t="s">
        <v>91</v>
      </c>
      <c r="BS342" t="s">
        <v>4884</v>
      </c>
      <c r="BT342" t="str">
        <f>HYPERLINK("https%3A%2F%2Fwww.webofscience.com%2Fwos%2Fwoscc%2Ffull-record%2FWOS:000169813500001","View Full Record in Web of Science")</f>
        <v>View Full Record in Web of Science</v>
      </c>
    </row>
    <row r="343" spans="1:72" x14ac:dyDescent="0.15">
      <c r="A343" t="s">
        <v>72</v>
      </c>
      <c r="B343" t="s">
        <v>4885</v>
      </c>
      <c r="C343" t="s">
        <v>74</v>
      </c>
      <c r="D343" t="s">
        <v>74</v>
      </c>
      <c r="E343" t="s">
        <v>74</v>
      </c>
      <c r="F343" t="s">
        <v>4885</v>
      </c>
      <c r="G343" t="s">
        <v>74</v>
      </c>
      <c r="H343" t="s">
        <v>74</v>
      </c>
      <c r="I343" t="s">
        <v>4886</v>
      </c>
      <c r="J343" t="s">
        <v>4887</v>
      </c>
      <c r="K343" t="s">
        <v>74</v>
      </c>
      <c r="L343" t="s">
        <v>74</v>
      </c>
      <c r="M343" t="s">
        <v>77</v>
      </c>
      <c r="N343" t="s">
        <v>120</v>
      </c>
      <c r="O343" t="s">
        <v>74</v>
      </c>
      <c r="P343" t="s">
        <v>74</v>
      </c>
      <c r="Q343" t="s">
        <v>74</v>
      </c>
      <c r="R343" t="s">
        <v>74</v>
      </c>
      <c r="S343" t="s">
        <v>74</v>
      </c>
      <c r="T343" t="s">
        <v>74</v>
      </c>
      <c r="U343" t="s">
        <v>4888</v>
      </c>
      <c r="V343" t="s">
        <v>4889</v>
      </c>
      <c r="W343" t="s">
        <v>4890</v>
      </c>
      <c r="X343" t="s">
        <v>4891</v>
      </c>
      <c r="Y343" t="s">
        <v>3209</v>
      </c>
      <c r="Z343" t="s">
        <v>4892</v>
      </c>
      <c r="AA343" t="s">
        <v>4893</v>
      </c>
      <c r="AB343" t="s">
        <v>4894</v>
      </c>
      <c r="AC343" t="s">
        <v>74</v>
      </c>
      <c r="AD343" t="s">
        <v>74</v>
      </c>
      <c r="AE343" t="s">
        <v>74</v>
      </c>
      <c r="AF343" t="s">
        <v>74</v>
      </c>
      <c r="AG343">
        <v>54</v>
      </c>
      <c r="AH343">
        <v>61</v>
      </c>
      <c r="AI343">
        <v>66</v>
      </c>
      <c r="AJ343">
        <v>0</v>
      </c>
      <c r="AK343">
        <v>26</v>
      </c>
      <c r="AL343" t="s">
        <v>1247</v>
      </c>
      <c r="AM343" t="s">
        <v>1248</v>
      </c>
      <c r="AN343" t="s">
        <v>1249</v>
      </c>
      <c r="AO343" t="s">
        <v>4895</v>
      </c>
      <c r="AP343" t="s">
        <v>4896</v>
      </c>
      <c r="AQ343" t="s">
        <v>74</v>
      </c>
      <c r="AR343" t="s">
        <v>4887</v>
      </c>
      <c r="AS343" t="s">
        <v>4897</v>
      </c>
      <c r="AT343" t="s">
        <v>4627</v>
      </c>
      <c r="AU343">
        <v>2001</v>
      </c>
      <c r="AV343">
        <v>24</v>
      </c>
      <c r="AW343">
        <v>4</v>
      </c>
      <c r="AX343" t="s">
        <v>74</v>
      </c>
      <c r="AY343" t="s">
        <v>74</v>
      </c>
      <c r="AZ343" t="s">
        <v>74</v>
      </c>
      <c r="BA343" t="s">
        <v>74</v>
      </c>
      <c r="BB343">
        <v>421</v>
      </c>
      <c r="BC343">
        <v>430</v>
      </c>
      <c r="BD343" t="s">
        <v>74</v>
      </c>
      <c r="BE343" t="s">
        <v>4898</v>
      </c>
      <c r="BF343" t="str">
        <f>HYPERLINK("http://dx.doi.org/10.1034/j.1600-0587.2001.d01-198.x","http://dx.doi.org/10.1034/j.1600-0587.2001.d01-198.x")</f>
        <v>http://dx.doi.org/10.1034/j.1600-0587.2001.d01-198.x</v>
      </c>
      <c r="BG343" t="s">
        <v>74</v>
      </c>
      <c r="BH343" t="s">
        <v>74</v>
      </c>
      <c r="BI343">
        <v>10</v>
      </c>
      <c r="BJ343" t="s">
        <v>209</v>
      </c>
      <c r="BK343" t="s">
        <v>88</v>
      </c>
      <c r="BL343" t="s">
        <v>210</v>
      </c>
      <c r="BM343" t="s">
        <v>4899</v>
      </c>
      <c r="BN343" t="s">
        <v>74</v>
      </c>
      <c r="BO343" t="s">
        <v>74</v>
      </c>
      <c r="BP343" t="s">
        <v>74</v>
      </c>
      <c r="BQ343" t="s">
        <v>74</v>
      </c>
      <c r="BR343" t="s">
        <v>91</v>
      </c>
      <c r="BS343" t="s">
        <v>4900</v>
      </c>
      <c r="BT343" t="str">
        <f>HYPERLINK("https%3A%2F%2Fwww.webofscience.com%2Fwos%2Fwoscc%2Ffull-record%2FWOS:000171753300006","View Full Record in Web of Science")</f>
        <v>View Full Record in Web of Science</v>
      </c>
    </row>
    <row r="344" spans="1:72" x14ac:dyDescent="0.15">
      <c r="A344" t="s">
        <v>72</v>
      </c>
      <c r="B344" t="s">
        <v>4901</v>
      </c>
      <c r="C344" t="s">
        <v>74</v>
      </c>
      <c r="D344" t="s">
        <v>74</v>
      </c>
      <c r="E344" t="s">
        <v>74</v>
      </c>
      <c r="F344" t="s">
        <v>4901</v>
      </c>
      <c r="G344" t="s">
        <v>74</v>
      </c>
      <c r="H344" t="s">
        <v>74</v>
      </c>
      <c r="I344" t="s">
        <v>4902</v>
      </c>
      <c r="J344" t="s">
        <v>4903</v>
      </c>
      <c r="K344" t="s">
        <v>74</v>
      </c>
      <c r="L344" t="s">
        <v>74</v>
      </c>
      <c r="M344" t="s">
        <v>77</v>
      </c>
      <c r="N344" t="s">
        <v>120</v>
      </c>
      <c r="O344" t="s">
        <v>74</v>
      </c>
      <c r="P344" t="s">
        <v>74</v>
      </c>
      <c r="Q344" t="s">
        <v>74</v>
      </c>
      <c r="R344" t="s">
        <v>74</v>
      </c>
      <c r="S344" t="s">
        <v>74</v>
      </c>
      <c r="T344" t="s">
        <v>4904</v>
      </c>
      <c r="U344" t="s">
        <v>4905</v>
      </c>
      <c r="V344" t="s">
        <v>4906</v>
      </c>
      <c r="W344" t="s">
        <v>4907</v>
      </c>
      <c r="X344" t="s">
        <v>4908</v>
      </c>
      <c r="Y344" t="s">
        <v>4909</v>
      </c>
      <c r="Z344" t="s">
        <v>74</v>
      </c>
      <c r="AA344" t="s">
        <v>74</v>
      </c>
      <c r="AB344" t="s">
        <v>4910</v>
      </c>
      <c r="AC344" t="s">
        <v>74</v>
      </c>
      <c r="AD344" t="s">
        <v>74</v>
      </c>
      <c r="AE344" t="s">
        <v>74</v>
      </c>
      <c r="AF344" t="s">
        <v>74</v>
      </c>
      <c r="AG344">
        <v>48</v>
      </c>
      <c r="AH344">
        <v>5</v>
      </c>
      <c r="AI344">
        <v>7</v>
      </c>
      <c r="AJ344">
        <v>0</v>
      </c>
      <c r="AK344">
        <v>12</v>
      </c>
      <c r="AL344" t="s">
        <v>4911</v>
      </c>
      <c r="AM344" t="s">
        <v>150</v>
      </c>
      <c r="AN344" t="s">
        <v>4912</v>
      </c>
      <c r="AO344" t="s">
        <v>4913</v>
      </c>
      <c r="AP344" t="s">
        <v>74</v>
      </c>
      <c r="AQ344" t="s">
        <v>74</v>
      </c>
      <c r="AR344" t="s">
        <v>4914</v>
      </c>
      <c r="AS344" t="s">
        <v>4915</v>
      </c>
      <c r="AT344" t="s">
        <v>4627</v>
      </c>
      <c r="AU344">
        <v>2001</v>
      </c>
      <c r="AV344">
        <v>11</v>
      </c>
      <c r="AW344">
        <v>4</v>
      </c>
      <c r="AX344" t="s">
        <v>74</v>
      </c>
      <c r="AY344" t="s">
        <v>74</v>
      </c>
      <c r="AZ344" t="s">
        <v>74</v>
      </c>
      <c r="BA344" t="s">
        <v>74</v>
      </c>
      <c r="BB344">
        <v>1235</v>
      </c>
      <c r="BC344">
        <v>1248</v>
      </c>
      <c r="BD344" t="s">
        <v>74</v>
      </c>
      <c r="BE344" t="s">
        <v>4916</v>
      </c>
      <c r="BF344" t="str">
        <f>HYPERLINK("http://dx.doi.org/10.2307/3061024","http://dx.doi.org/10.2307/3061024")</f>
        <v>http://dx.doi.org/10.2307/3061024</v>
      </c>
      <c r="BG344" t="s">
        <v>74</v>
      </c>
      <c r="BH344" t="s">
        <v>74</v>
      </c>
      <c r="BI344">
        <v>14</v>
      </c>
      <c r="BJ344" t="s">
        <v>4917</v>
      </c>
      <c r="BK344" t="s">
        <v>88</v>
      </c>
      <c r="BL344" t="s">
        <v>2955</v>
      </c>
      <c r="BM344" t="s">
        <v>4918</v>
      </c>
      <c r="BN344" t="s">
        <v>74</v>
      </c>
      <c r="BO344" t="s">
        <v>74</v>
      </c>
      <c r="BP344" t="s">
        <v>74</v>
      </c>
      <c r="BQ344" t="s">
        <v>74</v>
      </c>
      <c r="BR344" t="s">
        <v>91</v>
      </c>
      <c r="BS344" t="s">
        <v>4919</v>
      </c>
      <c r="BT344" t="str">
        <f>HYPERLINK("https%3A%2F%2Fwww.webofscience.com%2Fwos%2Fwoscc%2Ffull-record%2FWOS:000170209200022","View Full Record in Web of Science")</f>
        <v>View Full Record in Web of Science</v>
      </c>
    </row>
    <row r="345" spans="1:72" x14ac:dyDescent="0.15">
      <c r="A345" t="s">
        <v>72</v>
      </c>
      <c r="B345" t="s">
        <v>4920</v>
      </c>
      <c r="C345" t="s">
        <v>74</v>
      </c>
      <c r="D345" t="s">
        <v>74</v>
      </c>
      <c r="E345" t="s">
        <v>74</v>
      </c>
      <c r="F345" t="s">
        <v>4920</v>
      </c>
      <c r="G345" t="s">
        <v>74</v>
      </c>
      <c r="H345" t="s">
        <v>74</v>
      </c>
      <c r="I345" t="s">
        <v>4921</v>
      </c>
      <c r="J345" t="s">
        <v>4922</v>
      </c>
      <c r="K345" t="s">
        <v>74</v>
      </c>
      <c r="L345" t="s">
        <v>74</v>
      </c>
      <c r="M345" t="s">
        <v>77</v>
      </c>
      <c r="N345" t="s">
        <v>96</v>
      </c>
      <c r="O345" t="s">
        <v>74</v>
      </c>
      <c r="P345" t="s">
        <v>74</v>
      </c>
      <c r="Q345" t="s">
        <v>74</v>
      </c>
      <c r="R345" t="s">
        <v>74</v>
      </c>
      <c r="S345" t="s">
        <v>74</v>
      </c>
      <c r="T345" t="s">
        <v>4923</v>
      </c>
      <c r="U345" t="s">
        <v>4924</v>
      </c>
      <c r="V345" t="s">
        <v>4925</v>
      </c>
      <c r="W345" t="s">
        <v>4926</v>
      </c>
      <c r="X345" t="s">
        <v>4927</v>
      </c>
      <c r="Y345" t="s">
        <v>4928</v>
      </c>
      <c r="Z345" t="s">
        <v>74</v>
      </c>
      <c r="AA345" t="s">
        <v>4929</v>
      </c>
      <c r="AB345" t="s">
        <v>4930</v>
      </c>
      <c r="AC345" t="s">
        <v>74</v>
      </c>
      <c r="AD345" t="s">
        <v>74</v>
      </c>
      <c r="AE345" t="s">
        <v>74</v>
      </c>
      <c r="AF345" t="s">
        <v>74</v>
      </c>
      <c r="AG345">
        <v>113</v>
      </c>
      <c r="AH345">
        <v>38</v>
      </c>
      <c r="AI345">
        <v>43</v>
      </c>
      <c r="AJ345">
        <v>0</v>
      </c>
      <c r="AK345">
        <v>17</v>
      </c>
      <c r="AL345" t="s">
        <v>4911</v>
      </c>
      <c r="AM345" t="s">
        <v>150</v>
      </c>
      <c r="AN345" t="s">
        <v>4912</v>
      </c>
      <c r="AO345" t="s">
        <v>4931</v>
      </c>
      <c r="AP345" t="s">
        <v>74</v>
      </c>
      <c r="AQ345" t="s">
        <v>74</v>
      </c>
      <c r="AR345" t="s">
        <v>4922</v>
      </c>
      <c r="AS345" t="s">
        <v>4932</v>
      </c>
      <c r="AT345" t="s">
        <v>4627</v>
      </c>
      <c r="AU345">
        <v>2001</v>
      </c>
      <c r="AV345">
        <v>82</v>
      </c>
      <c r="AW345">
        <v>8</v>
      </c>
      <c r="AX345" t="s">
        <v>74</v>
      </c>
      <c r="AY345" t="s">
        <v>74</v>
      </c>
      <c r="AZ345" t="s">
        <v>74</v>
      </c>
      <c r="BA345" t="s">
        <v>74</v>
      </c>
      <c r="BB345">
        <v>2342</v>
      </c>
      <c r="BC345">
        <v>2356</v>
      </c>
      <c r="BD345" t="s">
        <v>74</v>
      </c>
      <c r="BE345" t="s">
        <v>4933</v>
      </c>
      <c r="BF345" t="str">
        <f>HYPERLINK("http://dx.doi.org/10.1890/0012-9658(2001)082[2342:MUVAFF]2.0.CO;2","http://dx.doi.org/10.1890/0012-9658(2001)082[2342:MUVAFF]2.0.CO;2")</f>
        <v>http://dx.doi.org/10.1890/0012-9658(2001)082[2342:MUVAFF]2.0.CO;2</v>
      </c>
      <c r="BG345" t="s">
        <v>74</v>
      </c>
      <c r="BH345" t="s">
        <v>74</v>
      </c>
      <c r="BI345">
        <v>15</v>
      </c>
      <c r="BJ345" t="s">
        <v>4932</v>
      </c>
      <c r="BK345" t="s">
        <v>88</v>
      </c>
      <c r="BL345" t="s">
        <v>2955</v>
      </c>
      <c r="BM345" t="s">
        <v>4934</v>
      </c>
      <c r="BN345" t="s">
        <v>74</v>
      </c>
      <c r="BO345" t="s">
        <v>4935</v>
      </c>
      <c r="BP345" t="s">
        <v>74</v>
      </c>
      <c r="BQ345" t="s">
        <v>74</v>
      </c>
      <c r="BR345" t="s">
        <v>91</v>
      </c>
      <c r="BS345" t="s">
        <v>4936</v>
      </c>
      <c r="BT345" t="str">
        <f>HYPERLINK("https%3A%2F%2Fwww.webofscience.com%2Fwos%2Fwoscc%2Ffull-record%2FWOS:000170452600019","View Full Record in Web of Science")</f>
        <v>View Full Record in Web of Science</v>
      </c>
    </row>
    <row r="346" spans="1:72" x14ac:dyDescent="0.15">
      <c r="A346" t="s">
        <v>72</v>
      </c>
      <c r="B346" t="s">
        <v>4937</v>
      </c>
      <c r="C346" t="s">
        <v>74</v>
      </c>
      <c r="D346" t="s">
        <v>74</v>
      </c>
      <c r="E346" t="s">
        <v>74</v>
      </c>
      <c r="F346" t="s">
        <v>4937</v>
      </c>
      <c r="G346" t="s">
        <v>74</v>
      </c>
      <c r="H346" t="s">
        <v>74</v>
      </c>
      <c r="I346" t="s">
        <v>4938</v>
      </c>
      <c r="J346" t="s">
        <v>2235</v>
      </c>
      <c r="K346" t="s">
        <v>74</v>
      </c>
      <c r="L346" t="s">
        <v>74</v>
      </c>
      <c r="M346" t="s">
        <v>77</v>
      </c>
      <c r="N346" t="s">
        <v>120</v>
      </c>
      <c r="O346" t="s">
        <v>74</v>
      </c>
      <c r="P346" t="s">
        <v>74</v>
      </c>
      <c r="Q346" t="s">
        <v>74</v>
      </c>
      <c r="R346" t="s">
        <v>74</v>
      </c>
      <c r="S346" t="s">
        <v>74</v>
      </c>
      <c r="T346" t="s">
        <v>4939</v>
      </c>
      <c r="U346" t="s">
        <v>4940</v>
      </c>
      <c r="V346" t="s">
        <v>4941</v>
      </c>
      <c r="W346" t="s">
        <v>4942</v>
      </c>
      <c r="X346" t="s">
        <v>4943</v>
      </c>
      <c r="Y346" t="s">
        <v>4944</v>
      </c>
      <c r="Z346" t="s">
        <v>4945</v>
      </c>
      <c r="AA346" t="s">
        <v>4946</v>
      </c>
      <c r="AB346" t="s">
        <v>4947</v>
      </c>
      <c r="AC346" t="s">
        <v>74</v>
      </c>
      <c r="AD346" t="s">
        <v>74</v>
      </c>
      <c r="AE346" t="s">
        <v>74</v>
      </c>
      <c r="AF346" t="s">
        <v>74</v>
      </c>
      <c r="AG346">
        <v>38</v>
      </c>
      <c r="AH346">
        <v>18</v>
      </c>
      <c r="AI346">
        <v>19</v>
      </c>
      <c r="AJ346">
        <v>1</v>
      </c>
      <c r="AK346">
        <v>12</v>
      </c>
      <c r="AL346" t="s">
        <v>1247</v>
      </c>
      <c r="AM346" t="s">
        <v>1248</v>
      </c>
      <c r="AN346" t="s">
        <v>1249</v>
      </c>
      <c r="AO346" t="s">
        <v>2244</v>
      </c>
      <c r="AP346" t="s">
        <v>74</v>
      </c>
      <c r="AQ346" t="s">
        <v>74</v>
      </c>
      <c r="AR346" t="s">
        <v>2245</v>
      </c>
      <c r="AS346" t="s">
        <v>2246</v>
      </c>
      <c r="AT346" t="s">
        <v>4627</v>
      </c>
      <c r="AU346">
        <v>2001</v>
      </c>
      <c r="AV346">
        <v>268</v>
      </c>
      <c r="AW346">
        <v>16</v>
      </c>
      <c r="AX346" t="s">
        <v>74</v>
      </c>
      <c r="AY346" t="s">
        <v>74</v>
      </c>
      <c r="AZ346" t="s">
        <v>74</v>
      </c>
      <c r="BA346" t="s">
        <v>74</v>
      </c>
      <c r="BB346">
        <v>4375</v>
      </c>
      <c r="BC346">
        <v>4383</v>
      </c>
      <c r="BD346" t="s">
        <v>74</v>
      </c>
      <c r="BE346" t="s">
        <v>4948</v>
      </c>
      <c r="BF346" t="str">
        <f>HYPERLINK("http://dx.doi.org/10.1046/j.1432-1327.2001.02353.x","http://dx.doi.org/10.1046/j.1432-1327.2001.02353.x")</f>
        <v>http://dx.doi.org/10.1046/j.1432-1327.2001.02353.x</v>
      </c>
      <c r="BG346" t="s">
        <v>74</v>
      </c>
      <c r="BH346" t="s">
        <v>74</v>
      </c>
      <c r="BI346">
        <v>9</v>
      </c>
      <c r="BJ346" t="s">
        <v>2248</v>
      </c>
      <c r="BK346" t="s">
        <v>88</v>
      </c>
      <c r="BL346" t="s">
        <v>2248</v>
      </c>
      <c r="BM346" t="s">
        <v>4949</v>
      </c>
      <c r="BN346">
        <v>11502197</v>
      </c>
      <c r="BO346" t="s">
        <v>171</v>
      </c>
      <c r="BP346" t="s">
        <v>74</v>
      </c>
      <c r="BQ346" t="s">
        <v>74</v>
      </c>
      <c r="BR346" t="s">
        <v>91</v>
      </c>
      <c r="BS346" t="s">
        <v>4950</v>
      </c>
      <c r="BT346" t="str">
        <f>HYPERLINK("https%3A%2F%2Fwww.webofscience.com%2Fwos%2Fwoscc%2Ffull-record%2FWOS:000170467000001","View Full Record in Web of Science")</f>
        <v>View Full Record in Web of Science</v>
      </c>
    </row>
    <row r="347" spans="1:72" x14ac:dyDescent="0.15">
      <c r="A347" t="s">
        <v>72</v>
      </c>
      <c r="B347" t="s">
        <v>4951</v>
      </c>
      <c r="C347" t="s">
        <v>74</v>
      </c>
      <c r="D347" t="s">
        <v>74</v>
      </c>
      <c r="E347" t="s">
        <v>74</v>
      </c>
      <c r="F347" t="s">
        <v>4951</v>
      </c>
      <c r="G347" t="s">
        <v>74</v>
      </c>
      <c r="H347" t="s">
        <v>74</v>
      </c>
      <c r="I347" t="s">
        <v>4952</v>
      </c>
      <c r="J347" t="s">
        <v>2235</v>
      </c>
      <c r="K347" t="s">
        <v>74</v>
      </c>
      <c r="L347" t="s">
        <v>74</v>
      </c>
      <c r="M347" t="s">
        <v>77</v>
      </c>
      <c r="N347" t="s">
        <v>120</v>
      </c>
      <c r="O347" t="s">
        <v>74</v>
      </c>
      <c r="P347" t="s">
        <v>74</v>
      </c>
      <c r="Q347" t="s">
        <v>74</v>
      </c>
      <c r="R347" t="s">
        <v>74</v>
      </c>
      <c r="S347" t="s">
        <v>74</v>
      </c>
      <c r="T347" t="s">
        <v>4953</v>
      </c>
      <c r="U347" t="s">
        <v>4954</v>
      </c>
      <c r="V347" t="s">
        <v>4955</v>
      </c>
      <c r="W347" t="s">
        <v>4956</v>
      </c>
      <c r="X347" t="s">
        <v>4957</v>
      </c>
      <c r="Y347" t="s">
        <v>4958</v>
      </c>
      <c r="Z347" t="s">
        <v>4959</v>
      </c>
      <c r="AA347" t="s">
        <v>4960</v>
      </c>
      <c r="AB347" t="s">
        <v>4961</v>
      </c>
      <c r="AC347" t="s">
        <v>74</v>
      </c>
      <c r="AD347" t="s">
        <v>74</v>
      </c>
      <c r="AE347" t="s">
        <v>74</v>
      </c>
      <c r="AF347" t="s">
        <v>74</v>
      </c>
      <c r="AG347">
        <v>42</v>
      </c>
      <c r="AH347">
        <v>40</v>
      </c>
      <c r="AI347">
        <v>43</v>
      </c>
      <c r="AJ347">
        <v>1</v>
      </c>
      <c r="AK347">
        <v>9</v>
      </c>
      <c r="AL347" t="s">
        <v>1247</v>
      </c>
      <c r="AM347" t="s">
        <v>1248</v>
      </c>
      <c r="AN347" t="s">
        <v>1249</v>
      </c>
      <c r="AO347" t="s">
        <v>2244</v>
      </c>
      <c r="AP347" t="s">
        <v>74</v>
      </c>
      <c r="AQ347" t="s">
        <v>74</v>
      </c>
      <c r="AR347" t="s">
        <v>2245</v>
      </c>
      <c r="AS347" t="s">
        <v>2246</v>
      </c>
      <c r="AT347" t="s">
        <v>4627</v>
      </c>
      <c r="AU347">
        <v>2001</v>
      </c>
      <c r="AV347">
        <v>268</v>
      </c>
      <c r="AW347">
        <v>16</v>
      </c>
      <c r="AX347" t="s">
        <v>74</v>
      </c>
      <c r="AY347" t="s">
        <v>74</v>
      </c>
      <c r="AZ347" t="s">
        <v>74</v>
      </c>
      <c r="BA347" t="s">
        <v>74</v>
      </c>
      <c r="BB347">
        <v>4497</v>
      </c>
      <c r="BC347">
        <v>4505</v>
      </c>
      <c r="BD347" t="s">
        <v>74</v>
      </c>
      <c r="BE347" t="s">
        <v>4962</v>
      </c>
      <c r="BF347" t="str">
        <f>HYPERLINK("http://dx.doi.org/10.1046/j.1432-1327.2001.02374.x","http://dx.doi.org/10.1046/j.1432-1327.2001.02374.x")</f>
        <v>http://dx.doi.org/10.1046/j.1432-1327.2001.02374.x</v>
      </c>
      <c r="BG347" t="s">
        <v>74</v>
      </c>
      <c r="BH347" t="s">
        <v>74</v>
      </c>
      <c r="BI347">
        <v>9</v>
      </c>
      <c r="BJ347" t="s">
        <v>2248</v>
      </c>
      <c r="BK347" t="s">
        <v>88</v>
      </c>
      <c r="BL347" t="s">
        <v>2248</v>
      </c>
      <c r="BM347" t="s">
        <v>4949</v>
      </c>
      <c r="BN347">
        <v>11502210</v>
      </c>
      <c r="BO347" t="s">
        <v>171</v>
      </c>
      <c r="BP347" t="s">
        <v>74</v>
      </c>
      <c r="BQ347" t="s">
        <v>74</v>
      </c>
      <c r="BR347" t="s">
        <v>91</v>
      </c>
      <c r="BS347" t="s">
        <v>4963</v>
      </c>
      <c r="BT347" t="str">
        <f>HYPERLINK("https%3A%2F%2Fwww.webofscience.com%2Fwos%2Fwoscc%2Ffull-record%2FWOS:000170467000014","View Full Record in Web of Science")</f>
        <v>View Full Record in Web of Science</v>
      </c>
    </row>
    <row r="348" spans="1:72" x14ac:dyDescent="0.15">
      <c r="A348" t="s">
        <v>72</v>
      </c>
      <c r="B348" t="s">
        <v>4964</v>
      </c>
      <c r="C348" t="s">
        <v>74</v>
      </c>
      <c r="D348" t="s">
        <v>74</v>
      </c>
      <c r="E348" t="s">
        <v>74</v>
      </c>
      <c r="F348" t="s">
        <v>4964</v>
      </c>
      <c r="G348" t="s">
        <v>74</v>
      </c>
      <c r="H348" t="s">
        <v>74</v>
      </c>
      <c r="I348" t="s">
        <v>4965</v>
      </c>
      <c r="J348" t="s">
        <v>2283</v>
      </c>
      <c r="K348" t="s">
        <v>74</v>
      </c>
      <c r="L348" t="s">
        <v>74</v>
      </c>
      <c r="M348" t="s">
        <v>77</v>
      </c>
      <c r="N348" t="s">
        <v>435</v>
      </c>
      <c r="O348" t="s">
        <v>2284</v>
      </c>
      <c r="P348">
        <v>2000</v>
      </c>
      <c r="Q348" t="s">
        <v>2285</v>
      </c>
      <c r="R348" t="s">
        <v>74</v>
      </c>
      <c r="S348" t="s">
        <v>74</v>
      </c>
      <c r="T348" t="s">
        <v>4966</v>
      </c>
      <c r="U348" t="s">
        <v>4967</v>
      </c>
      <c r="V348" t="s">
        <v>4968</v>
      </c>
      <c r="W348" t="s">
        <v>4969</v>
      </c>
      <c r="X348" t="s">
        <v>4970</v>
      </c>
      <c r="Y348" t="s">
        <v>4971</v>
      </c>
      <c r="Z348" t="s">
        <v>4972</v>
      </c>
      <c r="AA348" t="s">
        <v>4973</v>
      </c>
      <c r="AB348" t="s">
        <v>4974</v>
      </c>
      <c r="AC348" t="s">
        <v>74</v>
      </c>
      <c r="AD348" t="s">
        <v>74</v>
      </c>
      <c r="AE348" t="s">
        <v>74</v>
      </c>
      <c r="AF348" t="s">
        <v>74</v>
      </c>
      <c r="AG348">
        <v>18</v>
      </c>
      <c r="AH348">
        <v>61</v>
      </c>
      <c r="AI348">
        <v>65</v>
      </c>
      <c r="AJ348">
        <v>0</v>
      </c>
      <c r="AK348">
        <v>4</v>
      </c>
      <c r="AL348" t="s">
        <v>4975</v>
      </c>
      <c r="AM348" t="s">
        <v>4976</v>
      </c>
      <c r="AN348" t="s">
        <v>4977</v>
      </c>
      <c r="AO348" t="s">
        <v>2294</v>
      </c>
      <c r="AP348" t="s">
        <v>4978</v>
      </c>
      <c r="AQ348" t="s">
        <v>74</v>
      </c>
      <c r="AR348" t="s">
        <v>2283</v>
      </c>
      <c r="AS348" t="s">
        <v>2295</v>
      </c>
      <c r="AT348" t="s">
        <v>4627</v>
      </c>
      <c r="AU348">
        <v>2001</v>
      </c>
      <c r="AV348">
        <v>5</v>
      </c>
      <c r="AW348">
        <v>4</v>
      </c>
      <c r="AX348" t="s">
        <v>74</v>
      </c>
      <c r="AY348" t="s">
        <v>74</v>
      </c>
      <c r="AZ348" t="s">
        <v>74</v>
      </c>
      <c r="BA348" t="s">
        <v>74</v>
      </c>
      <c r="BB348">
        <v>257</v>
      </c>
      <c r="BC348">
        <v>264</v>
      </c>
      <c r="BD348" t="s">
        <v>74</v>
      </c>
      <c r="BE348" t="s">
        <v>4979</v>
      </c>
      <c r="BF348" t="str">
        <f>HYPERLINK("http://dx.doi.org/10.1007/s007920100203","http://dx.doi.org/10.1007/s007920100203")</f>
        <v>http://dx.doi.org/10.1007/s007920100203</v>
      </c>
      <c r="BG348" t="s">
        <v>74</v>
      </c>
      <c r="BH348" t="s">
        <v>74</v>
      </c>
      <c r="BI348">
        <v>8</v>
      </c>
      <c r="BJ348" t="s">
        <v>2297</v>
      </c>
      <c r="BK348" t="s">
        <v>816</v>
      </c>
      <c r="BL348" t="s">
        <v>2297</v>
      </c>
      <c r="BM348" t="s">
        <v>4980</v>
      </c>
      <c r="BN348">
        <v>11523895</v>
      </c>
      <c r="BO348" t="s">
        <v>761</v>
      </c>
      <c r="BP348" t="s">
        <v>74</v>
      </c>
      <c r="BQ348" t="s">
        <v>74</v>
      </c>
      <c r="BR348" t="s">
        <v>91</v>
      </c>
      <c r="BS348" t="s">
        <v>4981</v>
      </c>
      <c r="BT348" t="str">
        <f>HYPERLINK("https%3A%2F%2Fwww.webofscience.com%2Fwos%2Fwoscc%2Ffull-record%2FWOS:000170563600006","View Full Record in Web of Science")</f>
        <v>View Full Record in Web of Science</v>
      </c>
    </row>
    <row r="349" spans="1:72" x14ac:dyDescent="0.15">
      <c r="A349" t="s">
        <v>72</v>
      </c>
      <c r="B349" t="s">
        <v>4982</v>
      </c>
      <c r="C349" t="s">
        <v>74</v>
      </c>
      <c r="D349" t="s">
        <v>74</v>
      </c>
      <c r="E349" t="s">
        <v>74</v>
      </c>
      <c r="F349" t="s">
        <v>4982</v>
      </c>
      <c r="G349" t="s">
        <v>74</v>
      </c>
      <c r="H349" t="s">
        <v>74</v>
      </c>
      <c r="I349" t="s">
        <v>4983</v>
      </c>
      <c r="J349" t="s">
        <v>4984</v>
      </c>
      <c r="K349" t="s">
        <v>74</v>
      </c>
      <c r="L349" t="s">
        <v>74</v>
      </c>
      <c r="M349" t="s">
        <v>77</v>
      </c>
      <c r="N349" t="s">
        <v>120</v>
      </c>
      <c r="O349" t="s">
        <v>74</v>
      </c>
      <c r="P349" t="s">
        <v>74</v>
      </c>
      <c r="Q349" t="s">
        <v>74</v>
      </c>
      <c r="R349" t="s">
        <v>74</v>
      </c>
      <c r="S349" t="s">
        <v>74</v>
      </c>
      <c r="T349" t="s">
        <v>4985</v>
      </c>
      <c r="U349" t="s">
        <v>4986</v>
      </c>
      <c r="V349" t="s">
        <v>4987</v>
      </c>
      <c r="W349" t="s">
        <v>1103</v>
      </c>
      <c r="X349" t="s">
        <v>462</v>
      </c>
      <c r="Y349" t="s">
        <v>4988</v>
      </c>
      <c r="Z349" t="s">
        <v>74</v>
      </c>
      <c r="AA349" t="s">
        <v>74</v>
      </c>
      <c r="AB349" t="s">
        <v>74</v>
      </c>
      <c r="AC349" t="s">
        <v>74</v>
      </c>
      <c r="AD349" t="s">
        <v>74</v>
      </c>
      <c r="AE349" t="s">
        <v>74</v>
      </c>
      <c r="AF349" t="s">
        <v>74</v>
      </c>
      <c r="AG349">
        <v>39</v>
      </c>
      <c r="AH349">
        <v>26</v>
      </c>
      <c r="AI349">
        <v>29</v>
      </c>
      <c r="AJ349">
        <v>1</v>
      </c>
      <c r="AK349">
        <v>14</v>
      </c>
      <c r="AL349" t="s">
        <v>488</v>
      </c>
      <c r="AM349" t="s">
        <v>350</v>
      </c>
      <c r="AN349" t="s">
        <v>489</v>
      </c>
      <c r="AO349" t="s">
        <v>4989</v>
      </c>
      <c r="AP349" t="s">
        <v>74</v>
      </c>
      <c r="AQ349" t="s">
        <v>74</v>
      </c>
      <c r="AR349" t="s">
        <v>4990</v>
      </c>
      <c r="AS349" t="s">
        <v>4991</v>
      </c>
      <c r="AT349" t="s">
        <v>4627</v>
      </c>
      <c r="AU349">
        <v>2001</v>
      </c>
      <c r="AV349">
        <v>37</v>
      </c>
      <c r="AW349">
        <v>1</v>
      </c>
      <c r="AX349" t="s">
        <v>74</v>
      </c>
      <c r="AY349" t="s">
        <v>74</v>
      </c>
      <c r="AZ349" t="s">
        <v>74</v>
      </c>
      <c r="BA349" t="s">
        <v>74</v>
      </c>
      <c r="BB349">
        <v>91</v>
      </c>
      <c r="BC349">
        <v>101</v>
      </c>
      <c r="BD349" t="s">
        <v>74</v>
      </c>
      <c r="BE349" t="s">
        <v>4992</v>
      </c>
      <c r="BF349" t="str">
        <f>HYPERLINK("http://dx.doi.org/10.1111/j.1574-6941.2001.tb00856.x","http://dx.doi.org/10.1111/j.1574-6941.2001.tb00856.x")</f>
        <v>http://dx.doi.org/10.1111/j.1574-6941.2001.tb00856.x</v>
      </c>
      <c r="BG349" t="s">
        <v>74</v>
      </c>
      <c r="BH349" t="s">
        <v>74</v>
      </c>
      <c r="BI349">
        <v>11</v>
      </c>
      <c r="BJ349" t="s">
        <v>1196</v>
      </c>
      <c r="BK349" t="s">
        <v>88</v>
      </c>
      <c r="BL349" t="s">
        <v>1196</v>
      </c>
      <c r="BM349" t="s">
        <v>4993</v>
      </c>
      <c r="BN349" t="s">
        <v>74</v>
      </c>
      <c r="BO349" t="s">
        <v>171</v>
      </c>
      <c r="BP349" t="s">
        <v>74</v>
      </c>
      <c r="BQ349" t="s">
        <v>74</v>
      </c>
      <c r="BR349" t="s">
        <v>91</v>
      </c>
      <c r="BS349" t="s">
        <v>4994</v>
      </c>
      <c r="BT349" t="str">
        <f>HYPERLINK("https%3A%2F%2Fwww.webofscience.com%2Fwos%2Fwoscc%2Ffull-record%2FWOS:000170976200010","View Full Record in Web of Science")</f>
        <v>View Full Record in Web of Science</v>
      </c>
    </row>
    <row r="350" spans="1:72" x14ac:dyDescent="0.15">
      <c r="A350" t="s">
        <v>72</v>
      </c>
      <c r="B350" t="s">
        <v>4995</v>
      </c>
      <c r="C350" t="s">
        <v>74</v>
      </c>
      <c r="D350" t="s">
        <v>74</v>
      </c>
      <c r="E350" t="s">
        <v>74</v>
      </c>
      <c r="F350" t="s">
        <v>4995</v>
      </c>
      <c r="G350" t="s">
        <v>74</v>
      </c>
      <c r="H350" t="s">
        <v>74</v>
      </c>
      <c r="I350" t="s">
        <v>4996</v>
      </c>
      <c r="J350" t="s">
        <v>4997</v>
      </c>
      <c r="K350" t="s">
        <v>74</v>
      </c>
      <c r="L350" t="s">
        <v>74</v>
      </c>
      <c r="M350" t="s">
        <v>77</v>
      </c>
      <c r="N350" t="s">
        <v>120</v>
      </c>
      <c r="O350" t="s">
        <v>74</v>
      </c>
      <c r="P350" t="s">
        <v>74</v>
      </c>
      <c r="Q350" t="s">
        <v>74</v>
      </c>
      <c r="R350" t="s">
        <v>74</v>
      </c>
      <c r="S350" t="s">
        <v>74</v>
      </c>
      <c r="T350" t="s">
        <v>4998</v>
      </c>
      <c r="U350" t="s">
        <v>4999</v>
      </c>
      <c r="V350" t="s">
        <v>5000</v>
      </c>
      <c r="W350" t="s">
        <v>5001</v>
      </c>
      <c r="X350" t="s">
        <v>462</v>
      </c>
      <c r="Y350" t="s">
        <v>5002</v>
      </c>
      <c r="Z350" t="s">
        <v>74</v>
      </c>
      <c r="AA350" t="s">
        <v>2815</v>
      </c>
      <c r="AB350" t="s">
        <v>2816</v>
      </c>
      <c r="AC350" t="s">
        <v>74</v>
      </c>
      <c r="AD350" t="s">
        <v>74</v>
      </c>
      <c r="AE350" t="s">
        <v>74</v>
      </c>
      <c r="AF350" t="s">
        <v>74</v>
      </c>
      <c r="AG350">
        <v>46</v>
      </c>
      <c r="AH350">
        <v>110</v>
      </c>
      <c r="AI350">
        <v>128</v>
      </c>
      <c r="AJ350">
        <v>0</v>
      </c>
      <c r="AK350">
        <v>27</v>
      </c>
      <c r="AL350" t="s">
        <v>1080</v>
      </c>
      <c r="AM350" t="s">
        <v>80</v>
      </c>
      <c r="AN350" t="s">
        <v>1081</v>
      </c>
      <c r="AO350" t="s">
        <v>5003</v>
      </c>
      <c r="AP350" t="s">
        <v>74</v>
      </c>
      <c r="AQ350" t="s">
        <v>74</v>
      </c>
      <c r="AR350" t="s">
        <v>5004</v>
      </c>
      <c r="AS350" t="s">
        <v>5005</v>
      </c>
      <c r="AT350" t="s">
        <v>4627</v>
      </c>
      <c r="AU350">
        <v>2001</v>
      </c>
      <c r="AV350">
        <v>15</v>
      </c>
      <c r="AW350">
        <v>4</v>
      </c>
      <c r="AX350" t="s">
        <v>74</v>
      </c>
      <c r="AY350" t="s">
        <v>74</v>
      </c>
      <c r="AZ350" t="s">
        <v>74</v>
      </c>
      <c r="BA350" t="s">
        <v>74</v>
      </c>
      <c r="BB350">
        <v>515</v>
      </c>
      <c r="BC350">
        <v>524</v>
      </c>
      <c r="BD350" t="s">
        <v>74</v>
      </c>
      <c r="BE350" t="s">
        <v>5006</v>
      </c>
      <c r="BF350" t="str">
        <f>HYPERLINK("http://dx.doi.org/10.1046/j.0269-8463.2001.00547.x","http://dx.doi.org/10.1046/j.0269-8463.2001.00547.x")</f>
        <v>http://dx.doi.org/10.1046/j.0269-8463.2001.00547.x</v>
      </c>
      <c r="BG350" t="s">
        <v>74</v>
      </c>
      <c r="BH350" t="s">
        <v>74</v>
      </c>
      <c r="BI350">
        <v>10</v>
      </c>
      <c r="BJ350" t="s">
        <v>4932</v>
      </c>
      <c r="BK350" t="s">
        <v>88</v>
      </c>
      <c r="BL350" t="s">
        <v>2955</v>
      </c>
      <c r="BM350" t="s">
        <v>5007</v>
      </c>
      <c r="BN350" t="s">
        <v>74</v>
      </c>
      <c r="BO350" t="s">
        <v>171</v>
      </c>
      <c r="BP350" t="s">
        <v>74</v>
      </c>
      <c r="BQ350" t="s">
        <v>74</v>
      </c>
      <c r="BR350" t="s">
        <v>91</v>
      </c>
      <c r="BS350" t="s">
        <v>5008</v>
      </c>
      <c r="BT350" t="str">
        <f>HYPERLINK("https%3A%2F%2Fwww.webofscience.com%2Fwos%2Fwoscc%2Ffull-record%2FWOS:000170398500013","View Full Record in Web of Science")</f>
        <v>View Full Record in Web of Science</v>
      </c>
    </row>
    <row r="351" spans="1:72" x14ac:dyDescent="0.15">
      <c r="A351" t="s">
        <v>72</v>
      </c>
      <c r="B351" t="s">
        <v>5009</v>
      </c>
      <c r="C351" t="s">
        <v>74</v>
      </c>
      <c r="D351" t="s">
        <v>74</v>
      </c>
      <c r="E351" t="s">
        <v>74</v>
      </c>
      <c r="F351" t="s">
        <v>5009</v>
      </c>
      <c r="G351" t="s">
        <v>74</v>
      </c>
      <c r="H351" t="s">
        <v>74</v>
      </c>
      <c r="I351" t="s">
        <v>5010</v>
      </c>
      <c r="J351" t="s">
        <v>2302</v>
      </c>
      <c r="K351" t="s">
        <v>74</v>
      </c>
      <c r="L351" t="s">
        <v>74</v>
      </c>
      <c r="M351" t="s">
        <v>77</v>
      </c>
      <c r="N351" t="s">
        <v>120</v>
      </c>
      <c r="O351" t="s">
        <v>74</v>
      </c>
      <c r="P351" t="s">
        <v>74</v>
      </c>
      <c r="Q351" t="s">
        <v>74</v>
      </c>
      <c r="R351" t="s">
        <v>74</v>
      </c>
      <c r="S351" t="s">
        <v>74</v>
      </c>
      <c r="T351" t="s">
        <v>5011</v>
      </c>
      <c r="U351" t="s">
        <v>5012</v>
      </c>
      <c r="V351" t="s">
        <v>5013</v>
      </c>
      <c r="W351" t="s">
        <v>5014</v>
      </c>
      <c r="X351" t="s">
        <v>5015</v>
      </c>
      <c r="Y351" t="s">
        <v>5016</v>
      </c>
      <c r="Z351" t="s">
        <v>74</v>
      </c>
      <c r="AA351" t="s">
        <v>5017</v>
      </c>
      <c r="AB351" t="s">
        <v>74</v>
      </c>
      <c r="AC351" t="s">
        <v>74</v>
      </c>
      <c r="AD351" t="s">
        <v>74</v>
      </c>
      <c r="AE351" t="s">
        <v>74</v>
      </c>
      <c r="AF351" t="s">
        <v>74</v>
      </c>
      <c r="AG351">
        <v>24</v>
      </c>
      <c r="AH351">
        <v>116</v>
      </c>
      <c r="AI351">
        <v>131</v>
      </c>
      <c r="AJ351">
        <v>0</v>
      </c>
      <c r="AK351">
        <v>15</v>
      </c>
      <c r="AL351" t="s">
        <v>2311</v>
      </c>
      <c r="AM351" t="s">
        <v>792</v>
      </c>
      <c r="AN351" t="s">
        <v>2312</v>
      </c>
      <c r="AO351" t="s">
        <v>2313</v>
      </c>
      <c r="AP351" t="s">
        <v>2314</v>
      </c>
      <c r="AQ351" t="s">
        <v>74</v>
      </c>
      <c r="AR351" t="s">
        <v>2302</v>
      </c>
      <c r="AS351" t="s">
        <v>113</v>
      </c>
      <c r="AT351" t="s">
        <v>4627</v>
      </c>
      <c r="AU351">
        <v>2001</v>
      </c>
      <c r="AV351">
        <v>29</v>
      </c>
      <c r="AW351">
        <v>8</v>
      </c>
      <c r="AX351" t="s">
        <v>74</v>
      </c>
      <c r="AY351" t="s">
        <v>74</v>
      </c>
      <c r="AZ351" t="s">
        <v>74</v>
      </c>
      <c r="BA351" t="s">
        <v>74</v>
      </c>
      <c r="BB351">
        <v>703</v>
      </c>
      <c r="BC351">
        <v>706</v>
      </c>
      <c r="BD351" t="s">
        <v>74</v>
      </c>
      <c r="BE351" t="s">
        <v>5018</v>
      </c>
      <c r="BF351" t="str">
        <f>HYPERLINK("http://dx.doi.org/10.1130/0091-7613(2001)029&lt;0703:IOTAPT&gt;2.0.CO;2","http://dx.doi.org/10.1130/0091-7613(2001)029&lt;0703:IOTAPT&gt;2.0.CO;2")</f>
        <v>http://dx.doi.org/10.1130/0091-7613(2001)029&lt;0703:IOTAPT&gt;2.0.CO;2</v>
      </c>
      <c r="BG351" t="s">
        <v>74</v>
      </c>
      <c r="BH351" t="s">
        <v>74</v>
      </c>
      <c r="BI351">
        <v>4</v>
      </c>
      <c r="BJ351" t="s">
        <v>113</v>
      </c>
      <c r="BK351" t="s">
        <v>88</v>
      </c>
      <c r="BL351" t="s">
        <v>113</v>
      </c>
      <c r="BM351" t="s">
        <v>5019</v>
      </c>
      <c r="BN351" t="s">
        <v>74</v>
      </c>
      <c r="BO351" t="s">
        <v>5020</v>
      </c>
      <c r="BP351" t="s">
        <v>74</v>
      </c>
      <c r="BQ351" t="s">
        <v>74</v>
      </c>
      <c r="BR351" t="s">
        <v>91</v>
      </c>
      <c r="BS351" t="s">
        <v>5021</v>
      </c>
      <c r="BT351" t="str">
        <f>HYPERLINK("https%3A%2F%2Fwww.webofscience.com%2Fwos%2Fwoscc%2Ffull-record%2FWOS:000170220400010","View Full Record in Web of Science")</f>
        <v>View Full Record in Web of Science</v>
      </c>
    </row>
    <row r="352" spans="1:72" x14ac:dyDescent="0.15">
      <c r="A352" t="s">
        <v>72</v>
      </c>
      <c r="B352" t="s">
        <v>5022</v>
      </c>
      <c r="C352" t="s">
        <v>74</v>
      </c>
      <c r="D352" t="s">
        <v>74</v>
      </c>
      <c r="E352" t="s">
        <v>74</v>
      </c>
      <c r="F352" t="s">
        <v>5022</v>
      </c>
      <c r="G352" t="s">
        <v>74</v>
      </c>
      <c r="H352" t="s">
        <v>74</v>
      </c>
      <c r="I352" t="s">
        <v>5023</v>
      </c>
      <c r="J352" t="s">
        <v>1055</v>
      </c>
      <c r="K352" t="s">
        <v>74</v>
      </c>
      <c r="L352" t="s">
        <v>74</v>
      </c>
      <c r="M352" t="s">
        <v>77</v>
      </c>
      <c r="N352" t="s">
        <v>120</v>
      </c>
      <c r="O352" t="s">
        <v>74</v>
      </c>
      <c r="P352" t="s">
        <v>74</v>
      </c>
      <c r="Q352" t="s">
        <v>74</v>
      </c>
      <c r="R352" t="s">
        <v>74</v>
      </c>
      <c r="S352" t="s">
        <v>74</v>
      </c>
      <c r="T352" t="s">
        <v>5024</v>
      </c>
      <c r="U352" t="s">
        <v>5025</v>
      </c>
      <c r="V352" t="s">
        <v>5026</v>
      </c>
      <c r="W352" t="s">
        <v>5027</v>
      </c>
      <c r="X352" t="s">
        <v>398</v>
      </c>
      <c r="Y352" t="s">
        <v>5028</v>
      </c>
      <c r="Z352" t="s">
        <v>5029</v>
      </c>
      <c r="AA352" t="s">
        <v>74</v>
      </c>
      <c r="AB352" t="s">
        <v>74</v>
      </c>
      <c r="AC352" t="s">
        <v>74</v>
      </c>
      <c r="AD352" t="s">
        <v>74</v>
      </c>
      <c r="AE352" t="s">
        <v>74</v>
      </c>
      <c r="AF352" t="s">
        <v>74</v>
      </c>
      <c r="AG352">
        <v>77</v>
      </c>
      <c r="AH352">
        <v>7</v>
      </c>
      <c r="AI352">
        <v>7</v>
      </c>
      <c r="AJ352">
        <v>0</v>
      </c>
      <c r="AK352">
        <v>0</v>
      </c>
      <c r="AL352" t="s">
        <v>273</v>
      </c>
      <c r="AM352" t="s">
        <v>80</v>
      </c>
      <c r="AN352" t="s">
        <v>274</v>
      </c>
      <c r="AO352" t="s">
        <v>1063</v>
      </c>
      <c r="AP352" t="s">
        <v>1064</v>
      </c>
      <c r="AQ352" t="s">
        <v>74</v>
      </c>
      <c r="AR352" t="s">
        <v>1065</v>
      </c>
      <c r="AS352" t="s">
        <v>1066</v>
      </c>
      <c r="AT352" t="s">
        <v>4627</v>
      </c>
      <c r="AU352">
        <v>2001</v>
      </c>
      <c r="AV352">
        <v>146</v>
      </c>
      <c r="AW352">
        <v>2</v>
      </c>
      <c r="AX352" t="s">
        <v>74</v>
      </c>
      <c r="AY352" t="s">
        <v>74</v>
      </c>
      <c r="AZ352" t="s">
        <v>74</v>
      </c>
      <c r="BA352" t="s">
        <v>74</v>
      </c>
      <c r="BB352">
        <v>349</v>
      </c>
      <c r="BC352">
        <v>370</v>
      </c>
      <c r="BD352" t="s">
        <v>74</v>
      </c>
      <c r="BE352" t="s">
        <v>5030</v>
      </c>
      <c r="BF352" t="str">
        <f>HYPERLINK("http://dx.doi.org/10.1046/j.0956-540x.2001.01449.x","http://dx.doi.org/10.1046/j.0956-540x.2001.01449.x")</f>
        <v>http://dx.doi.org/10.1046/j.0956-540x.2001.01449.x</v>
      </c>
      <c r="BG352" t="s">
        <v>74</v>
      </c>
      <c r="BH352" t="s">
        <v>74</v>
      </c>
      <c r="BI352">
        <v>22</v>
      </c>
      <c r="BJ352" t="s">
        <v>388</v>
      </c>
      <c r="BK352" t="s">
        <v>88</v>
      </c>
      <c r="BL352" t="s">
        <v>388</v>
      </c>
      <c r="BM352" t="s">
        <v>5031</v>
      </c>
      <c r="BN352" t="s">
        <v>74</v>
      </c>
      <c r="BO352" t="s">
        <v>171</v>
      </c>
      <c r="BP352" t="s">
        <v>74</v>
      </c>
      <c r="BQ352" t="s">
        <v>74</v>
      </c>
      <c r="BR352" t="s">
        <v>91</v>
      </c>
      <c r="BS352" t="s">
        <v>5032</v>
      </c>
      <c r="BT352" t="str">
        <f>HYPERLINK("https%3A%2F%2Fwww.webofscience.com%2Fwos%2Fwoscc%2Ffull-record%2FWOS:000170426000006","View Full Record in Web of Science")</f>
        <v>View Full Record in Web of Science</v>
      </c>
    </row>
    <row r="353" spans="1:72" x14ac:dyDescent="0.15">
      <c r="A353" t="s">
        <v>72</v>
      </c>
      <c r="B353" t="s">
        <v>5033</v>
      </c>
      <c r="C353" t="s">
        <v>74</v>
      </c>
      <c r="D353" t="s">
        <v>74</v>
      </c>
      <c r="E353" t="s">
        <v>74</v>
      </c>
      <c r="F353" t="s">
        <v>5033</v>
      </c>
      <c r="G353" t="s">
        <v>74</v>
      </c>
      <c r="H353" t="s">
        <v>74</v>
      </c>
      <c r="I353" t="s">
        <v>5034</v>
      </c>
      <c r="J353" t="s">
        <v>1055</v>
      </c>
      <c r="K353" t="s">
        <v>74</v>
      </c>
      <c r="L353" t="s">
        <v>74</v>
      </c>
      <c r="M353" t="s">
        <v>77</v>
      </c>
      <c r="N353" t="s">
        <v>120</v>
      </c>
      <c r="O353" t="s">
        <v>74</v>
      </c>
      <c r="P353" t="s">
        <v>74</v>
      </c>
      <c r="Q353" t="s">
        <v>74</v>
      </c>
      <c r="R353" t="s">
        <v>74</v>
      </c>
      <c r="S353" t="s">
        <v>74</v>
      </c>
      <c r="T353" t="s">
        <v>5035</v>
      </c>
      <c r="U353" t="s">
        <v>5036</v>
      </c>
      <c r="V353" t="s">
        <v>5037</v>
      </c>
      <c r="W353" t="s">
        <v>5038</v>
      </c>
      <c r="X353" t="s">
        <v>5039</v>
      </c>
      <c r="Y353" t="s">
        <v>5040</v>
      </c>
      <c r="Z353" t="s">
        <v>74</v>
      </c>
      <c r="AA353" t="s">
        <v>74</v>
      </c>
      <c r="AB353" t="s">
        <v>74</v>
      </c>
      <c r="AC353" t="s">
        <v>74</v>
      </c>
      <c r="AD353" t="s">
        <v>74</v>
      </c>
      <c r="AE353" t="s">
        <v>74</v>
      </c>
      <c r="AF353" t="s">
        <v>74</v>
      </c>
      <c r="AG353">
        <v>28</v>
      </c>
      <c r="AH353">
        <v>14</v>
      </c>
      <c r="AI353">
        <v>21</v>
      </c>
      <c r="AJ353">
        <v>0</v>
      </c>
      <c r="AK353">
        <v>1</v>
      </c>
      <c r="AL353" t="s">
        <v>1080</v>
      </c>
      <c r="AM353" t="s">
        <v>80</v>
      </c>
      <c r="AN353" t="s">
        <v>1081</v>
      </c>
      <c r="AO353" t="s">
        <v>1063</v>
      </c>
      <c r="AP353" t="s">
        <v>74</v>
      </c>
      <c r="AQ353" t="s">
        <v>74</v>
      </c>
      <c r="AR353" t="s">
        <v>1065</v>
      </c>
      <c r="AS353" t="s">
        <v>1066</v>
      </c>
      <c r="AT353" t="s">
        <v>4627</v>
      </c>
      <c r="AU353">
        <v>2001</v>
      </c>
      <c r="AV353">
        <v>146</v>
      </c>
      <c r="AW353">
        <v>2</v>
      </c>
      <c r="AX353" t="s">
        <v>74</v>
      </c>
      <c r="AY353" t="s">
        <v>74</v>
      </c>
      <c r="AZ353" t="s">
        <v>74</v>
      </c>
      <c r="BA353" t="s">
        <v>74</v>
      </c>
      <c r="BB353">
        <v>539</v>
      </c>
      <c r="BC353">
        <v>548</v>
      </c>
      <c r="BD353" t="s">
        <v>74</v>
      </c>
      <c r="BE353" t="s">
        <v>5041</v>
      </c>
      <c r="BF353" t="str">
        <f>HYPERLINK("http://dx.doi.org/10.1046/j.0956-540x.2001.01483.x","http://dx.doi.org/10.1046/j.0956-540x.2001.01483.x")</f>
        <v>http://dx.doi.org/10.1046/j.0956-540x.2001.01483.x</v>
      </c>
      <c r="BG353" t="s">
        <v>74</v>
      </c>
      <c r="BH353" t="s">
        <v>74</v>
      </c>
      <c r="BI353">
        <v>10</v>
      </c>
      <c r="BJ353" t="s">
        <v>388</v>
      </c>
      <c r="BK353" t="s">
        <v>88</v>
      </c>
      <c r="BL353" t="s">
        <v>388</v>
      </c>
      <c r="BM353" t="s">
        <v>5031</v>
      </c>
      <c r="BN353" t="s">
        <v>74</v>
      </c>
      <c r="BO353" t="s">
        <v>74</v>
      </c>
      <c r="BP353" t="s">
        <v>74</v>
      </c>
      <c r="BQ353" t="s">
        <v>74</v>
      </c>
      <c r="BR353" t="s">
        <v>91</v>
      </c>
      <c r="BS353" t="s">
        <v>5042</v>
      </c>
      <c r="BT353" t="str">
        <f>HYPERLINK("https%3A%2F%2Fwww.webofscience.com%2Fwos%2Fwoscc%2Ffull-record%2FWOS:000170426000017","View Full Record in Web of Science")</f>
        <v>View Full Record in Web of Science</v>
      </c>
    </row>
    <row r="354" spans="1:72" x14ac:dyDescent="0.15">
      <c r="A354" t="s">
        <v>72</v>
      </c>
      <c r="B354" t="s">
        <v>5043</v>
      </c>
      <c r="C354" t="s">
        <v>74</v>
      </c>
      <c r="D354" t="s">
        <v>74</v>
      </c>
      <c r="E354" t="s">
        <v>74</v>
      </c>
      <c r="F354" t="s">
        <v>5043</v>
      </c>
      <c r="G354" t="s">
        <v>74</v>
      </c>
      <c r="H354" t="s">
        <v>74</v>
      </c>
      <c r="I354" t="s">
        <v>5044</v>
      </c>
      <c r="J354" t="s">
        <v>613</v>
      </c>
      <c r="K354" t="s">
        <v>74</v>
      </c>
      <c r="L354" t="s">
        <v>74</v>
      </c>
      <c r="M354" t="s">
        <v>77</v>
      </c>
      <c r="N354" t="s">
        <v>120</v>
      </c>
      <c r="O354" t="s">
        <v>74</v>
      </c>
      <c r="P354" t="s">
        <v>74</v>
      </c>
      <c r="Q354" t="s">
        <v>74</v>
      </c>
      <c r="R354" t="s">
        <v>74</v>
      </c>
      <c r="S354" t="s">
        <v>74</v>
      </c>
      <c r="T354" t="s">
        <v>74</v>
      </c>
      <c r="U354" t="s">
        <v>5045</v>
      </c>
      <c r="V354" t="s">
        <v>5046</v>
      </c>
      <c r="W354" t="s">
        <v>5047</v>
      </c>
      <c r="X354" t="s">
        <v>5048</v>
      </c>
      <c r="Y354" t="s">
        <v>5049</v>
      </c>
      <c r="Z354" t="s">
        <v>74</v>
      </c>
      <c r="AA354" t="s">
        <v>5050</v>
      </c>
      <c r="AB354" t="s">
        <v>5051</v>
      </c>
      <c r="AC354" t="s">
        <v>74</v>
      </c>
      <c r="AD354" t="s">
        <v>74</v>
      </c>
      <c r="AE354" t="s">
        <v>74</v>
      </c>
      <c r="AF354" t="s">
        <v>74</v>
      </c>
      <c r="AG354">
        <v>25</v>
      </c>
      <c r="AH354">
        <v>66</v>
      </c>
      <c r="AI354">
        <v>66</v>
      </c>
      <c r="AJ354">
        <v>0</v>
      </c>
      <c r="AK354">
        <v>3</v>
      </c>
      <c r="AL354" t="s">
        <v>149</v>
      </c>
      <c r="AM354" t="s">
        <v>150</v>
      </c>
      <c r="AN354" t="s">
        <v>151</v>
      </c>
      <c r="AO354" t="s">
        <v>619</v>
      </c>
      <c r="AP354" t="s">
        <v>74</v>
      </c>
      <c r="AQ354" t="s">
        <v>74</v>
      </c>
      <c r="AR354" t="s">
        <v>620</v>
      </c>
      <c r="AS354" t="s">
        <v>621</v>
      </c>
      <c r="AT354" t="s">
        <v>5052</v>
      </c>
      <c r="AU354">
        <v>2001</v>
      </c>
      <c r="AV354">
        <v>28</v>
      </c>
      <c r="AW354">
        <v>15</v>
      </c>
      <c r="AX354" t="s">
        <v>74</v>
      </c>
      <c r="AY354" t="s">
        <v>74</v>
      </c>
      <c r="AZ354" t="s">
        <v>74</v>
      </c>
      <c r="BA354" t="s">
        <v>74</v>
      </c>
      <c r="BB354">
        <v>2875</v>
      </c>
      <c r="BC354">
        <v>2878</v>
      </c>
      <c r="BD354" t="s">
        <v>74</v>
      </c>
      <c r="BE354" t="s">
        <v>5053</v>
      </c>
      <c r="BF354" t="str">
        <f>HYPERLINK("http://dx.doi.org/10.1029/2001GL013132","http://dx.doi.org/10.1029/2001GL013132")</f>
        <v>http://dx.doi.org/10.1029/2001GL013132</v>
      </c>
      <c r="BG354" t="s">
        <v>74</v>
      </c>
      <c r="BH354" t="s">
        <v>74</v>
      </c>
      <c r="BI354">
        <v>4</v>
      </c>
      <c r="BJ354" t="s">
        <v>300</v>
      </c>
      <c r="BK354" t="s">
        <v>88</v>
      </c>
      <c r="BL354" t="s">
        <v>113</v>
      </c>
      <c r="BM354" t="s">
        <v>5054</v>
      </c>
      <c r="BN354" t="s">
        <v>74</v>
      </c>
      <c r="BO354" t="s">
        <v>171</v>
      </c>
      <c r="BP354" t="s">
        <v>74</v>
      </c>
      <c r="BQ354" t="s">
        <v>74</v>
      </c>
      <c r="BR354" t="s">
        <v>91</v>
      </c>
      <c r="BS354" t="s">
        <v>5055</v>
      </c>
      <c r="BT354" t="str">
        <f>HYPERLINK("https%3A%2F%2Fwww.webofscience.com%2Fwos%2Fwoscc%2Ffull-record%2FWOS:000170157400001","View Full Record in Web of Science")</f>
        <v>View Full Record in Web of Science</v>
      </c>
    </row>
    <row r="355" spans="1:72" x14ac:dyDescent="0.15">
      <c r="A355" t="s">
        <v>72</v>
      </c>
      <c r="B355" t="s">
        <v>5056</v>
      </c>
      <c r="C355" t="s">
        <v>74</v>
      </c>
      <c r="D355" t="s">
        <v>74</v>
      </c>
      <c r="E355" t="s">
        <v>74</v>
      </c>
      <c r="F355" t="s">
        <v>5056</v>
      </c>
      <c r="G355" t="s">
        <v>74</v>
      </c>
      <c r="H355" t="s">
        <v>74</v>
      </c>
      <c r="I355" t="s">
        <v>5057</v>
      </c>
      <c r="J355" t="s">
        <v>613</v>
      </c>
      <c r="K355" t="s">
        <v>74</v>
      </c>
      <c r="L355" t="s">
        <v>74</v>
      </c>
      <c r="M355" t="s">
        <v>77</v>
      </c>
      <c r="N355" t="s">
        <v>120</v>
      </c>
      <c r="O355" t="s">
        <v>74</v>
      </c>
      <c r="P355" t="s">
        <v>74</v>
      </c>
      <c r="Q355" t="s">
        <v>74</v>
      </c>
      <c r="R355" t="s">
        <v>74</v>
      </c>
      <c r="S355" t="s">
        <v>74</v>
      </c>
      <c r="T355" t="s">
        <v>74</v>
      </c>
      <c r="U355" t="s">
        <v>5058</v>
      </c>
      <c r="V355" t="s">
        <v>5059</v>
      </c>
      <c r="W355" t="s">
        <v>5060</v>
      </c>
      <c r="X355" t="s">
        <v>5061</v>
      </c>
      <c r="Y355" t="s">
        <v>5062</v>
      </c>
      <c r="Z355" t="s">
        <v>74</v>
      </c>
      <c r="AA355" t="s">
        <v>5063</v>
      </c>
      <c r="AB355" t="s">
        <v>5064</v>
      </c>
      <c r="AC355" t="s">
        <v>74</v>
      </c>
      <c r="AD355" t="s">
        <v>74</v>
      </c>
      <c r="AE355" t="s">
        <v>74</v>
      </c>
      <c r="AF355" t="s">
        <v>74</v>
      </c>
      <c r="AG355">
        <v>20</v>
      </c>
      <c r="AH355">
        <v>21</v>
      </c>
      <c r="AI355">
        <v>21</v>
      </c>
      <c r="AJ355">
        <v>0</v>
      </c>
      <c r="AK355">
        <v>0</v>
      </c>
      <c r="AL355" t="s">
        <v>149</v>
      </c>
      <c r="AM355" t="s">
        <v>150</v>
      </c>
      <c r="AN355" t="s">
        <v>151</v>
      </c>
      <c r="AO355" t="s">
        <v>619</v>
      </c>
      <c r="AP355" t="s">
        <v>74</v>
      </c>
      <c r="AQ355" t="s">
        <v>74</v>
      </c>
      <c r="AR355" t="s">
        <v>620</v>
      </c>
      <c r="AS355" t="s">
        <v>621</v>
      </c>
      <c r="AT355" t="s">
        <v>5052</v>
      </c>
      <c r="AU355">
        <v>2001</v>
      </c>
      <c r="AV355">
        <v>28</v>
      </c>
      <c r="AW355">
        <v>15</v>
      </c>
      <c r="AX355" t="s">
        <v>74</v>
      </c>
      <c r="AY355" t="s">
        <v>74</v>
      </c>
      <c r="AZ355" t="s">
        <v>74</v>
      </c>
      <c r="BA355" t="s">
        <v>74</v>
      </c>
      <c r="BB355">
        <v>2911</v>
      </c>
      <c r="BC355">
        <v>2914</v>
      </c>
      <c r="BD355" t="s">
        <v>74</v>
      </c>
      <c r="BE355" t="s">
        <v>5065</v>
      </c>
      <c r="BF355" t="str">
        <f>HYPERLINK("http://dx.doi.org/10.1029/2000GL012583","http://dx.doi.org/10.1029/2000GL012583")</f>
        <v>http://dx.doi.org/10.1029/2000GL012583</v>
      </c>
      <c r="BG355" t="s">
        <v>74</v>
      </c>
      <c r="BH355" t="s">
        <v>74</v>
      </c>
      <c r="BI355">
        <v>4</v>
      </c>
      <c r="BJ355" t="s">
        <v>300</v>
      </c>
      <c r="BK355" t="s">
        <v>88</v>
      </c>
      <c r="BL355" t="s">
        <v>113</v>
      </c>
      <c r="BM355" t="s">
        <v>5054</v>
      </c>
      <c r="BN355" t="s">
        <v>74</v>
      </c>
      <c r="BO355" t="s">
        <v>5066</v>
      </c>
      <c r="BP355" t="s">
        <v>74</v>
      </c>
      <c r="BQ355" t="s">
        <v>74</v>
      </c>
      <c r="BR355" t="s">
        <v>91</v>
      </c>
      <c r="BS355" t="s">
        <v>5067</v>
      </c>
      <c r="BT355" t="str">
        <f>HYPERLINK("https%3A%2F%2Fwww.webofscience.com%2Fwos%2Fwoscc%2Ffull-record%2FWOS:000170157400010","View Full Record in Web of Science")</f>
        <v>View Full Record in Web of Science</v>
      </c>
    </row>
    <row r="356" spans="1:72" x14ac:dyDescent="0.15">
      <c r="A356" t="s">
        <v>72</v>
      </c>
      <c r="B356" t="s">
        <v>5068</v>
      </c>
      <c r="C356" t="s">
        <v>74</v>
      </c>
      <c r="D356" t="s">
        <v>74</v>
      </c>
      <c r="E356" t="s">
        <v>74</v>
      </c>
      <c r="F356" t="s">
        <v>5068</v>
      </c>
      <c r="G356" t="s">
        <v>74</v>
      </c>
      <c r="H356" t="s">
        <v>74</v>
      </c>
      <c r="I356" t="s">
        <v>5069</v>
      </c>
      <c r="J356" t="s">
        <v>613</v>
      </c>
      <c r="K356" t="s">
        <v>74</v>
      </c>
      <c r="L356" t="s">
        <v>74</v>
      </c>
      <c r="M356" t="s">
        <v>77</v>
      </c>
      <c r="N356" t="s">
        <v>120</v>
      </c>
      <c r="O356" t="s">
        <v>74</v>
      </c>
      <c r="P356" t="s">
        <v>74</v>
      </c>
      <c r="Q356" t="s">
        <v>74</v>
      </c>
      <c r="R356" t="s">
        <v>74</v>
      </c>
      <c r="S356" t="s">
        <v>74</v>
      </c>
      <c r="T356" t="s">
        <v>74</v>
      </c>
      <c r="U356" t="s">
        <v>5070</v>
      </c>
      <c r="V356" t="s">
        <v>5071</v>
      </c>
      <c r="W356" t="s">
        <v>5072</v>
      </c>
      <c r="X356" t="s">
        <v>5073</v>
      </c>
      <c r="Y356" t="s">
        <v>5074</v>
      </c>
      <c r="Z356" t="s">
        <v>5075</v>
      </c>
      <c r="AA356" t="s">
        <v>5076</v>
      </c>
      <c r="AB356" t="s">
        <v>4598</v>
      </c>
      <c r="AC356" t="s">
        <v>74</v>
      </c>
      <c r="AD356" t="s">
        <v>74</v>
      </c>
      <c r="AE356" t="s">
        <v>74</v>
      </c>
      <c r="AF356" t="s">
        <v>74</v>
      </c>
      <c r="AG356">
        <v>32</v>
      </c>
      <c r="AH356">
        <v>79</v>
      </c>
      <c r="AI356">
        <v>82</v>
      </c>
      <c r="AJ356">
        <v>0</v>
      </c>
      <c r="AK356">
        <v>23</v>
      </c>
      <c r="AL356" t="s">
        <v>149</v>
      </c>
      <c r="AM356" t="s">
        <v>150</v>
      </c>
      <c r="AN356" t="s">
        <v>151</v>
      </c>
      <c r="AO356" t="s">
        <v>619</v>
      </c>
      <c r="AP356" t="s">
        <v>1094</v>
      </c>
      <c r="AQ356" t="s">
        <v>74</v>
      </c>
      <c r="AR356" t="s">
        <v>620</v>
      </c>
      <c r="AS356" t="s">
        <v>621</v>
      </c>
      <c r="AT356" t="s">
        <v>5052</v>
      </c>
      <c r="AU356">
        <v>2001</v>
      </c>
      <c r="AV356">
        <v>28</v>
      </c>
      <c r="AW356">
        <v>15</v>
      </c>
      <c r="AX356" t="s">
        <v>74</v>
      </c>
      <c r="AY356" t="s">
        <v>74</v>
      </c>
      <c r="AZ356" t="s">
        <v>74</v>
      </c>
      <c r="BA356" t="s">
        <v>74</v>
      </c>
      <c r="BB356">
        <v>2923</v>
      </c>
      <c r="BC356">
        <v>2926</v>
      </c>
      <c r="BD356" t="s">
        <v>74</v>
      </c>
      <c r="BE356" t="s">
        <v>5077</v>
      </c>
      <c r="BF356" t="str">
        <f>HYPERLINK("http://dx.doi.org/10.1029/2001GL012830","http://dx.doi.org/10.1029/2001GL012830")</f>
        <v>http://dx.doi.org/10.1029/2001GL012830</v>
      </c>
      <c r="BG356" t="s">
        <v>74</v>
      </c>
      <c r="BH356" t="s">
        <v>74</v>
      </c>
      <c r="BI356">
        <v>4</v>
      </c>
      <c r="BJ356" t="s">
        <v>300</v>
      </c>
      <c r="BK356" t="s">
        <v>88</v>
      </c>
      <c r="BL356" t="s">
        <v>113</v>
      </c>
      <c r="BM356" t="s">
        <v>5054</v>
      </c>
      <c r="BN356" t="s">
        <v>74</v>
      </c>
      <c r="BO356" t="s">
        <v>5078</v>
      </c>
      <c r="BP356" t="s">
        <v>74</v>
      </c>
      <c r="BQ356" t="s">
        <v>74</v>
      </c>
      <c r="BR356" t="s">
        <v>91</v>
      </c>
      <c r="BS356" t="s">
        <v>5079</v>
      </c>
      <c r="BT356" t="str">
        <f>HYPERLINK("https%3A%2F%2Fwww.webofscience.com%2Fwos%2Fwoscc%2Ffull-record%2FWOS:000170157400013","View Full Record in Web of Science")</f>
        <v>View Full Record in Web of Science</v>
      </c>
    </row>
    <row r="357" spans="1:72" x14ac:dyDescent="0.15">
      <c r="A357" t="s">
        <v>72</v>
      </c>
      <c r="B357" t="s">
        <v>5080</v>
      </c>
      <c r="C357" t="s">
        <v>74</v>
      </c>
      <c r="D357" t="s">
        <v>74</v>
      </c>
      <c r="E357" t="s">
        <v>74</v>
      </c>
      <c r="F357" t="s">
        <v>5080</v>
      </c>
      <c r="G357" t="s">
        <v>74</v>
      </c>
      <c r="H357" t="s">
        <v>74</v>
      </c>
      <c r="I357" t="s">
        <v>5081</v>
      </c>
      <c r="J357" t="s">
        <v>613</v>
      </c>
      <c r="K357" t="s">
        <v>74</v>
      </c>
      <c r="L357" t="s">
        <v>74</v>
      </c>
      <c r="M357" t="s">
        <v>77</v>
      </c>
      <c r="N357" t="s">
        <v>120</v>
      </c>
      <c r="O357" t="s">
        <v>74</v>
      </c>
      <c r="P357" t="s">
        <v>74</v>
      </c>
      <c r="Q357" t="s">
        <v>74</v>
      </c>
      <c r="R357" t="s">
        <v>74</v>
      </c>
      <c r="S357" t="s">
        <v>74</v>
      </c>
      <c r="T357" t="s">
        <v>74</v>
      </c>
      <c r="U357" t="s">
        <v>5082</v>
      </c>
      <c r="V357" t="s">
        <v>5083</v>
      </c>
      <c r="W357" t="s">
        <v>2323</v>
      </c>
      <c r="X357" t="s">
        <v>1679</v>
      </c>
      <c r="Y357" t="s">
        <v>5084</v>
      </c>
      <c r="Z357" t="s">
        <v>74</v>
      </c>
      <c r="AA357" t="s">
        <v>74</v>
      </c>
      <c r="AB357" t="s">
        <v>5085</v>
      </c>
      <c r="AC357" t="s">
        <v>74</v>
      </c>
      <c r="AD357" t="s">
        <v>74</v>
      </c>
      <c r="AE357" t="s">
        <v>74</v>
      </c>
      <c r="AF357" t="s">
        <v>74</v>
      </c>
      <c r="AG357">
        <v>21</v>
      </c>
      <c r="AH357">
        <v>17</v>
      </c>
      <c r="AI357">
        <v>19</v>
      </c>
      <c r="AJ357">
        <v>1</v>
      </c>
      <c r="AK357">
        <v>5</v>
      </c>
      <c r="AL357" t="s">
        <v>149</v>
      </c>
      <c r="AM357" t="s">
        <v>150</v>
      </c>
      <c r="AN357" t="s">
        <v>151</v>
      </c>
      <c r="AO357" t="s">
        <v>619</v>
      </c>
      <c r="AP357" t="s">
        <v>74</v>
      </c>
      <c r="AQ357" t="s">
        <v>74</v>
      </c>
      <c r="AR357" t="s">
        <v>620</v>
      </c>
      <c r="AS357" t="s">
        <v>621</v>
      </c>
      <c r="AT357" t="s">
        <v>5052</v>
      </c>
      <c r="AU357">
        <v>2001</v>
      </c>
      <c r="AV357">
        <v>28</v>
      </c>
      <c r="AW357">
        <v>15</v>
      </c>
      <c r="AX357" t="s">
        <v>74</v>
      </c>
      <c r="AY357" t="s">
        <v>74</v>
      </c>
      <c r="AZ357" t="s">
        <v>74</v>
      </c>
      <c r="BA357" t="s">
        <v>74</v>
      </c>
      <c r="BB357">
        <v>2927</v>
      </c>
      <c r="BC357">
        <v>2930</v>
      </c>
      <c r="BD357" t="s">
        <v>74</v>
      </c>
      <c r="BE357" t="s">
        <v>5086</v>
      </c>
      <c r="BF357" t="str">
        <f>HYPERLINK("http://dx.doi.org/10.1029/2001GL013054","http://dx.doi.org/10.1029/2001GL013054")</f>
        <v>http://dx.doi.org/10.1029/2001GL013054</v>
      </c>
      <c r="BG357" t="s">
        <v>74</v>
      </c>
      <c r="BH357" t="s">
        <v>74</v>
      </c>
      <c r="BI357">
        <v>4</v>
      </c>
      <c r="BJ357" t="s">
        <v>300</v>
      </c>
      <c r="BK357" t="s">
        <v>88</v>
      </c>
      <c r="BL357" t="s">
        <v>113</v>
      </c>
      <c r="BM357" t="s">
        <v>5054</v>
      </c>
      <c r="BN357" t="s">
        <v>74</v>
      </c>
      <c r="BO357" t="s">
        <v>1685</v>
      </c>
      <c r="BP357" t="s">
        <v>74</v>
      </c>
      <c r="BQ357" t="s">
        <v>74</v>
      </c>
      <c r="BR357" t="s">
        <v>91</v>
      </c>
      <c r="BS357" t="s">
        <v>5087</v>
      </c>
      <c r="BT357" t="str">
        <f>HYPERLINK("https%3A%2F%2Fwww.webofscience.com%2Fwos%2Fwoscc%2Ffull-record%2FWOS:000170157400014","View Full Record in Web of Science")</f>
        <v>View Full Record in Web of Science</v>
      </c>
    </row>
    <row r="358" spans="1:72" x14ac:dyDescent="0.15">
      <c r="A358" t="s">
        <v>72</v>
      </c>
      <c r="B358" t="s">
        <v>5088</v>
      </c>
      <c r="C358" t="s">
        <v>74</v>
      </c>
      <c r="D358" t="s">
        <v>74</v>
      </c>
      <c r="E358" t="s">
        <v>74</v>
      </c>
      <c r="F358" t="s">
        <v>5088</v>
      </c>
      <c r="G358" t="s">
        <v>74</v>
      </c>
      <c r="H358" t="s">
        <v>74</v>
      </c>
      <c r="I358" t="s">
        <v>5089</v>
      </c>
      <c r="J358" t="s">
        <v>613</v>
      </c>
      <c r="K358" t="s">
        <v>74</v>
      </c>
      <c r="L358" t="s">
        <v>74</v>
      </c>
      <c r="M358" t="s">
        <v>77</v>
      </c>
      <c r="N358" t="s">
        <v>120</v>
      </c>
      <c r="O358" t="s">
        <v>74</v>
      </c>
      <c r="P358" t="s">
        <v>74</v>
      </c>
      <c r="Q358" t="s">
        <v>74</v>
      </c>
      <c r="R358" t="s">
        <v>74</v>
      </c>
      <c r="S358" t="s">
        <v>74</v>
      </c>
      <c r="T358" t="s">
        <v>74</v>
      </c>
      <c r="U358" t="s">
        <v>5090</v>
      </c>
      <c r="V358" t="s">
        <v>5091</v>
      </c>
      <c r="W358" t="s">
        <v>5092</v>
      </c>
      <c r="X358" t="s">
        <v>5093</v>
      </c>
      <c r="Y358" t="s">
        <v>5094</v>
      </c>
      <c r="Z358" t="s">
        <v>5095</v>
      </c>
      <c r="AA358" t="s">
        <v>74</v>
      </c>
      <c r="AB358" t="s">
        <v>74</v>
      </c>
      <c r="AC358" t="s">
        <v>74</v>
      </c>
      <c r="AD358" t="s">
        <v>74</v>
      </c>
      <c r="AE358" t="s">
        <v>74</v>
      </c>
      <c r="AF358" t="s">
        <v>74</v>
      </c>
      <c r="AG358">
        <v>28</v>
      </c>
      <c r="AH358">
        <v>4</v>
      </c>
      <c r="AI358">
        <v>4</v>
      </c>
      <c r="AJ358">
        <v>1</v>
      </c>
      <c r="AK358">
        <v>7</v>
      </c>
      <c r="AL358" t="s">
        <v>149</v>
      </c>
      <c r="AM358" t="s">
        <v>150</v>
      </c>
      <c r="AN358" t="s">
        <v>151</v>
      </c>
      <c r="AO358" t="s">
        <v>619</v>
      </c>
      <c r="AP358" t="s">
        <v>1094</v>
      </c>
      <c r="AQ358" t="s">
        <v>74</v>
      </c>
      <c r="AR358" t="s">
        <v>620</v>
      </c>
      <c r="AS358" t="s">
        <v>621</v>
      </c>
      <c r="AT358" t="s">
        <v>5052</v>
      </c>
      <c r="AU358">
        <v>2001</v>
      </c>
      <c r="AV358">
        <v>28</v>
      </c>
      <c r="AW358">
        <v>15</v>
      </c>
      <c r="AX358" t="s">
        <v>74</v>
      </c>
      <c r="AY358" t="s">
        <v>74</v>
      </c>
      <c r="AZ358" t="s">
        <v>74</v>
      </c>
      <c r="BA358" t="s">
        <v>74</v>
      </c>
      <c r="BB358">
        <v>2971</v>
      </c>
      <c r="BC358">
        <v>2974</v>
      </c>
      <c r="BD358" t="s">
        <v>74</v>
      </c>
      <c r="BE358" t="s">
        <v>5096</v>
      </c>
      <c r="BF358" t="str">
        <f>HYPERLINK("http://dx.doi.org/10.1029/2001GL013230","http://dx.doi.org/10.1029/2001GL013230")</f>
        <v>http://dx.doi.org/10.1029/2001GL013230</v>
      </c>
      <c r="BG358" t="s">
        <v>74</v>
      </c>
      <c r="BH358" t="s">
        <v>74</v>
      </c>
      <c r="BI358">
        <v>4</v>
      </c>
      <c r="BJ358" t="s">
        <v>300</v>
      </c>
      <c r="BK358" t="s">
        <v>88</v>
      </c>
      <c r="BL358" t="s">
        <v>113</v>
      </c>
      <c r="BM358" t="s">
        <v>5054</v>
      </c>
      <c r="BN358" t="s">
        <v>74</v>
      </c>
      <c r="BO358" t="s">
        <v>74</v>
      </c>
      <c r="BP358" t="s">
        <v>74</v>
      </c>
      <c r="BQ358" t="s">
        <v>74</v>
      </c>
      <c r="BR358" t="s">
        <v>91</v>
      </c>
      <c r="BS358" t="s">
        <v>5097</v>
      </c>
      <c r="BT358" t="str">
        <f>HYPERLINK("https%3A%2F%2Fwww.webofscience.com%2Fwos%2Fwoscc%2Ffull-record%2FWOS:000170157400025","View Full Record in Web of Science")</f>
        <v>View Full Record in Web of Science</v>
      </c>
    </row>
    <row r="359" spans="1:72" x14ac:dyDescent="0.15">
      <c r="A359" t="s">
        <v>72</v>
      </c>
      <c r="B359" t="s">
        <v>73</v>
      </c>
      <c r="C359" t="s">
        <v>74</v>
      </c>
      <c r="D359" t="s">
        <v>74</v>
      </c>
      <c r="E359" t="s">
        <v>74</v>
      </c>
      <c r="F359" t="s">
        <v>73</v>
      </c>
      <c r="G359" t="s">
        <v>74</v>
      </c>
      <c r="H359" t="s">
        <v>74</v>
      </c>
      <c r="I359" t="s">
        <v>5098</v>
      </c>
      <c r="J359" t="s">
        <v>5099</v>
      </c>
      <c r="K359" t="s">
        <v>74</v>
      </c>
      <c r="L359" t="s">
        <v>74</v>
      </c>
      <c r="M359" t="s">
        <v>77</v>
      </c>
      <c r="N359" t="s">
        <v>78</v>
      </c>
      <c r="O359" t="s">
        <v>74</v>
      </c>
      <c r="P359" t="s">
        <v>74</v>
      </c>
      <c r="Q359" t="s">
        <v>74</v>
      </c>
      <c r="R359" t="s">
        <v>74</v>
      </c>
      <c r="S359" t="s">
        <v>74</v>
      </c>
      <c r="T359" t="s">
        <v>74</v>
      </c>
      <c r="U359" t="s">
        <v>74</v>
      </c>
      <c r="V359" t="s">
        <v>74</v>
      </c>
      <c r="W359" t="s">
        <v>74</v>
      </c>
      <c r="X359" t="s">
        <v>74</v>
      </c>
      <c r="Y359" t="s">
        <v>74</v>
      </c>
      <c r="Z359" t="s">
        <v>74</v>
      </c>
      <c r="AA359" t="s">
        <v>74</v>
      </c>
      <c r="AB359" t="s">
        <v>74</v>
      </c>
      <c r="AC359" t="s">
        <v>74</v>
      </c>
      <c r="AD359" t="s">
        <v>74</v>
      </c>
      <c r="AE359" t="s">
        <v>74</v>
      </c>
      <c r="AF359" t="s">
        <v>74</v>
      </c>
      <c r="AG359">
        <v>0</v>
      </c>
      <c r="AH359">
        <v>0</v>
      </c>
      <c r="AI359">
        <v>0</v>
      </c>
      <c r="AJ359">
        <v>0</v>
      </c>
      <c r="AK359">
        <v>0</v>
      </c>
      <c r="AL359" t="s">
        <v>5100</v>
      </c>
      <c r="AM359" t="s">
        <v>5101</v>
      </c>
      <c r="AN359" t="s">
        <v>5102</v>
      </c>
      <c r="AO359" t="s">
        <v>5103</v>
      </c>
      <c r="AP359" t="s">
        <v>74</v>
      </c>
      <c r="AQ359" t="s">
        <v>74</v>
      </c>
      <c r="AR359" t="s">
        <v>5099</v>
      </c>
      <c r="AS359" t="s">
        <v>5104</v>
      </c>
      <c r="AT359" t="s">
        <v>4627</v>
      </c>
      <c r="AU359">
        <v>2001</v>
      </c>
      <c r="AV359">
        <v>46</v>
      </c>
      <c r="AW359">
        <v>8</v>
      </c>
      <c r="AX359" t="s">
        <v>74</v>
      </c>
      <c r="AY359" t="s">
        <v>74</v>
      </c>
      <c r="AZ359" t="s">
        <v>74</v>
      </c>
      <c r="BA359" t="s">
        <v>74</v>
      </c>
      <c r="BB359">
        <v>11</v>
      </c>
      <c r="BC359">
        <v>11</v>
      </c>
      <c r="BD359" t="s">
        <v>74</v>
      </c>
      <c r="BE359" t="s">
        <v>74</v>
      </c>
      <c r="BF359" t="s">
        <v>74</v>
      </c>
      <c r="BG359" t="s">
        <v>74</v>
      </c>
      <c r="BH359" t="s">
        <v>74</v>
      </c>
      <c r="BI359">
        <v>1</v>
      </c>
      <c r="BJ359" t="s">
        <v>300</v>
      </c>
      <c r="BK359" t="s">
        <v>88</v>
      </c>
      <c r="BL359" t="s">
        <v>113</v>
      </c>
      <c r="BM359" t="s">
        <v>5105</v>
      </c>
      <c r="BN359" t="s">
        <v>74</v>
      </c>
      <c r="BO359" t="s">
        <v>74</v>
      </c>
      <c r="BP359" t="s">
        <v>74</v>
      </c>
      <c r="BQ359" t="s">
        <v>74</v>
      </c>
      <c r="BR359" t="s">
        <v>91</v>
      </c>
      <c r="BS359" t="s">
        <v>5106</v>
      </c>
      <c r="BT359" t="str">
        <f>HYPERLINK("https%3A%2F%2Fwww.webofscience.com%2Fwos%2Fwoscc%2Ffull-record%2FWOS:000172852200013","View Full Record in Web of Science")</f>
        <v>View Full Record in Web of Science</v>
      </c>
    </row>
    <row r="360" spans="1:72" x14ac:dyDescent="0.15">
      <c r="A360" t="s">
        <v>72</v>
      </c>
      <c r="B360" t="s">
        <v>5107</v>
      </c>
      <c r="C360" t="s">
        <v>74</v>
      </c>
      <c r="D360" t="s">
        <v>74</v>
      </c>
      <c r="E360" t="s">
        <v>74</v>
      </c>
      <c r="F360" t="s">
        <v>5107</v>
      </c>
      <c r="G360" t="s">
        <v>74</v>
      </c>
      <c r="H360" t="s">
        <v>74</v>
      </c>
      <c r="I360" t="s">
        <v>5108</v>
      </c>
      <c r="J360" t="s">
        <v>5109</v>
      </c>
      <c r="K360" t="s">
        <v>74</v>
      </c>
      <c r="L360" t="s">
        <v>74</v>
      </c>
      <c r="M360" t="s">
        <v>77</v>
      </c>
      <c r="N360" t="s">
        <v>120</v>
      </c>
      <c r="O360" t="s">
        <v>74</v>
      </c>
      <c r="P360" t="s">
        <v>74</v>
      </c>
      <c r="Q360" t="s">
        <v>74</v>
      </c>
      <c r="R360" t="s">
        <v>74</v>
      </c>
      <c r="S360" t="s">
        <v>74</v>
      </c>
      <c r="T360" t="s">
        <v>5110</v>
      </c>
      <c r="U360" t="s">
        <v>74</v>
      </c>
      <c r="V360" t="s">
        <v>5111</v>
      </c>
      <c r="W360" t="s">
        <v>5112</v>
      </c>
      <c r="X360" t="s">
        <v>5113</v>
      </c>
      <c r="Y360" t="s">
        <v>5114</v>
      </c>
      <c r="Z360" t="s">
        <v>74</v>
      </c>
      <c r="AA360" t="s">
        <v>5115</v>
      </c>
      <c r="AB360" t="s">
        <v>5116</v>
      </c>
      <c r="AC360" t="s">
        <v>74</v>
      </c>
      <c r="AD360" t="s">
        <v>74</v>
      </c>
      <c r="AE360" t="s">
        <v>74</v>
      </c>
      <c r="AF360" t="s">
        <v>74</v>
      </c>
      <c r="AG360">
        <v>21</v>
      </c>
      <c r="AH360">
        <v>1</v>
      </c>
      <c r="AI360">
        <v>1</v>
      </c>
      <c r="AJ360">
        <v>0</v>
      </c>
      <c r="AK360">
        <v>4</v>
      </c>
      <c r="AL360" t="s">
        <v>203</v>
      </c>
      <c r="AM360" t="s">
        <v>204</v>
      </c>
      <c r="AN360" t="s">
        <v>205</v>
      </c>
      <c r="AO360" t="s">
        <v>5117</v>
      </c>
      <c r="AP360" t="s">
        <v>74</v>
      </c>
      <c r="AQ360" t="s">
        <v>74</v>
      </c>
      <c r="AR360" t="s">
        <v>5118</v>
      </c>
      <c r="AS360" t="s">
        <v>5119</v>
      </c>
      <c r="AT360" t="s">
        <v>4627</v>
      </c>
      <c r="AU360">
        <v>2001</v>
      </c>
      <c r="AV360">
        <v>55</v>
      </c>
      <c r="AW360">
        <v>3</v>
      </c>
      <c r="AX360" t="s">
        <v>74</v>
      </c>
      <c r="AY360" t="s">
        <v>74</v>
      </c>
      <c r="AZ360" t="s">
        <v>74</v>
      </c>
      <c r="BA360" t="s">
        <v>74</v>
      </c>
      <c r="BB360">
        <v>212</v>
      </c>
      <c r="BC360">
        <v>220</v>
      </c>
      <c r="BD360" t="s">
        <v>74</v>
      </c>
      <c r="BE360" t="s">
        <v>5120</v>
      </c>
      <c r="BF360" t="str">
        <f>HYPERLINK("http://dx.doi.org/10.1007/s101520100082","http://dx.doi.org/10.1007/s101520100082")</f>
        <v>http://dx.doi.org/10.1007/s101520100082</v>
      </c>
      <c r="BG360" t="s">
        <v>74</v>
      </c>
      <c r="BH360" t="s">
        <v>74</v>
      </c>
      <c r="BI360">
        <v>9</v>
      </c>
      <c r="BJ360" t="s">
        <v>2574</v>
      </c>
      <c r="BK360" t="s">
        <v>88</v>
      </c>
      <c r="BL360" t="s">
        <v>2574</v>
      </c>
      <c r="BM360" t="s">
        <v>5121</v>
      </c>
      <c r="BN360" t="s">
        <v>74</v>
      </c>
      <c r="BO360" t="s">
        <v>171</v>
      </c>
      <c r="BP360" t="s">
        <v>74</v>
      </c>
      <c r="BQ360" t="s">
        <v>74</v>
      </c>
      <c r="BR360" t="s">
        <v>91</v>
      </c>
      <c r="BS360" t="s">
        <v>5122</v>
      </c>
      <c r="BT360" t="str">
        <f>HYPERLINK("https%3A%2F%2Fwww.webofscience.com%2Fwos%2Fwoscc%2Ffull-record%2FWOS:000171093900008","View Full Record in Web of Science")</f>
        <v>View Full Record in Web of Science</v>
      </c>
    </row>
    <row r="361" spans="1:72" x14ac:dyDescent="0.15">
      <c r="A361" t="s">
        <v>72</v>
      </c>
      <c r="B361" t="s">
        <v>5123</v>
      </c>
      <c r="C361" t="s">
        <v>74</v>
      </c>
      <c r="D361" t="s">
        <v>74</v>
      </c>
      <c r="E361" t="s">
        <v>74</v>
      </c>
      <c r="F361" t="s">
        <v>5123</v>
      </c>
      <c r="G361" t="s">
        <v>74</v>
      </c>
      <c r="H361" t="s">
        <v>74</v>
      </c>
      <c r="I361" t="s">
        <v>5124</v>
      </c>
      <c r="J361" t="s">
        <v>1237</v>
      </c>
      <c r="K361" t="s">
        <v>74</v>
      </c>
      <c r="L361" t="s">
        <v>74</v>
      </c>
      <c r="M361" t="s">
        <v>77</v>
      </c>
      <c r="N361" t="s">
        <v>120</v>
      </c>
      <c r="O361" t="s">
        <v>74</v>
      </c>
      <c r="P361" t="s">
        <v>74</v>
      </c>
      <c r="Q361" t="s">
        <v>74</v>
      </c>
      <c r="R361" t="s">
        <v>74</v>
      </c>
      <c r="S361" t="s">
        <v>74</v>
      </c>
      <c r="T361" t="s">
        <v>5125</v>
      </c>
      <c r="U361" t="s">
        <v>5126</v>
      </c>
      <c r="V361" t="s">
        <v>5127</v>
      </c>
      <c r="W361" t="s">
        <v>5128</v>
      </c>
      <c r="X361" t="s">
        <v>5129</v>
      </c>
      <c r="Y361" t="s">
        <v>5130</v>
      </c>
      <c r="Z361" t="s">
        <v>74</v>
      </c>
      <c r="AA361" t="s">
        <v>5131</v>
      </c>
      <c r="AB361" t="s">
        <v>74</v>
      </c>
      <c r="AC361" t="s">
        <v>74</v>
      </c>
      <c r="AD361" t="s">
        <v>74</v>
      </c>
      <c r="AE361" t="s">
        <v>74</v>
      </c>
      <c r="AF361" t="s">
        <v>74</v>
      </c>
      <c r="AG361">
        <v>21</v>
      </c>
      <c r="AH361">
        <v>7</v>
      </c>
      <c r="AI361">
        <v>17</v>
      </c>
      <c r="AJ361">
        <v>2</v>
      </c>
      <c r="AK361">
        <v>15</v>
      </c>
      <c r="AL361" t="s">
        <v>1267</v>
      </c>
      <c r="AM361" t="s">
        <v>683</v>
      </c>
      <c r="AN361" t="s">
        <v>1268</v>
      </c>
      <c r="AO361" t="s">
        <v>1250</v>
      </c>
      <c r="AP361" t="s">
        <v>74</v>
      </c>
      <c r="AQ361" t="s">
        <v>74</v>
      </c>
      <c r="AR361" t="s">
        <v>1252</v>
      </c>
      <c r="AS361" t="s">
        <v>1253</v>
      </c>
      <c r="AT361" t="s">
        <v>4627</v>
      </c>
      <c r="AU361">
        <v>2001</v>
      </c>
      <c r="AV361">
        <v>59</v>
      </c>
      <c r="AW361">
        <v>2</v>
      </c>
      <c r="AX361" t="s">
        <v>74</v>
      </c>
      <c r="AY361" t="s">
        <v>74</v>
      </c>
      <c r="AZ361" t="s">
        <v>74</v>
      </c>
      <c r="BA361" t="s">
        <v>74</v>
      </c>
      <c r="BB361">
        <v>463</v>
      </c>
      <c r="BC361">
        <v>468</v>
      </c>
      <c r="BD361" t="s">
        <v>74</v>
      </c>
      <c r="BE361" t="s">
        <v>5132</v>
      </c>
      <c r="BF361" t="str">
        <f>HYPERLINK("http://dx.doi.org/10.1111/j.1095-8649.2001.tb00146.x","http://dx.doi.org/10.1111/j.1095-8649.2001.tb00146.x")</f>
        <v>http://dx.doi.org/10.1111/j.1095-8649.2001.tb00146.x</v>
      </c>
      <c r="BG361" t="s">
        <v>74</v>
      </c>
      <c r="BH361" t="s">
        <v>74</v>
      </c>
      <c r="BI361">
        <v>6</v>
      </c>
      <c r="BJ361" t="s">
        <v>1255</v>
      </c>
      <c r="BK361" t="s">
        <v>88</v>
      </c>
      <c r="BL361" t="s">
        <v>1255</v>
      </c>
      <c r="BM361" t="s">
        <v>5133</v>
      </c>
      <c r="BN361" t="s">
        <v>74</v>
      </c>
      <c r="BO361" t="s">
        <v>74</v>
      </c>
      <c r="BP361" t="s">
        <v>74</v>
      </c>
      <c r="BQ361" t="s">
        <v>74</v>
      </c>
      <c r="BR361" t="s">
        <v>91</v>
      </c>
      <c r="BS361" t="s">
        <v>5134</v>
      </c>
      <c r="BT361" t="str">
        <f>HYPERLINK("https%3A%2F%2Fwww.webofscience.com%2Fwos%2Fwoscc%2Ffull-record%2FWOS:000170502300020","View Full Record in Web of Science")</f>
        <v>View Full Record in Web of Science</v>
      </c>
    </row>
    <row r="362" spans="1:72" x14ac:dyDescent="0.15">
      <c r="A362" t="s">
        <v>72</v>
      </c>
      <c r="B362" t="s">
        <v>5135</v>
      </c>
      <c r="C362" t="s">
        <v>74</v>
      </c>
      <c r="D362" t="s">
        <v>74</v>
      </c>
      <c r="E362" t="s">
        <v>74</v>
      </c>
      <c r="F362" t="s">
        <v>5135</v>
      </c>
      <c r="G362" t="s">
        <v>74</v>
      </c>
      <c r="H362" t="s">
        <v>74</v>
      </c>
      <c r="I362" t="s">
        <v>5136</v>
      </c>
      <c r="J362" t="s">
        <v>1272</v>
      </c>
      <c r="K362" t="s">
        <v>74</v>
      </c>
      <c r="L362" t="s">
        <v>74</v>
      </c>
      <c r="M362" t="s">
        <v>77</v>
      </c>
      <c r="N362" t="s">
        <v>120</v>
      </c>
      <c r="O362" t="s">
        <v>74</v>
      </c>
      <c r="P362" t="s">
        <v>74</v>
      </c>
      <c r="Q362" t="s">
        <v>74</v>
      </c>
      <c r="R362" t="s">
        <v>74</v>
      </c>
      <c r="S362" t="s">
        <v>74</v>
      </c>
      <c r="T362" t="s">
        <v>74</v>
      </c>
      <c r="U362" t="s">
        <v>5137</v>
      </c>
      <c r="V362" t="s">
        <v>5138</v>
      </c>
      <c r="W362" t="s">
        <v>5139</v>
      </c>
      <c r="X362" t="s">
        <v>5140</v>
      </c>
      <c r="Y362" t="s">
        <v>5141</v>
      </c>
      <c r="Z362" t="s">
        <v>5142</v>
      </c>
      <c r="AA362" t="s">
        <v>5143</v>
      </c>
      <c r="AB362" t="s">
        <v>74</v>
      </c>
      <c r="AC362" t="s">
        <v>74</v>
      </c>
      <c r="AD362" t="s">
        <v>74</v>
      </c>
      <c r="AE362" t="s">
        <v>74</v>
      </c>
      <c r="AF362" t="s">
        <v>74</v>
      </c>
      <c r="AG362">
        <v>37</v>
      </c>
      <c r="AH362">
        <v>13</v>
      </c>
      <c r="AI362">
        <v>13</v>
      </c>
      <c r="AJ362">
        <v>0</v>
      </c>
      <c r="AK362">
        <v>0</v>
      </c>
      <c r="AL362" t="s">
        <v>149</v>
      </c>
      <c r="AM362" t="s">
        <v>150</v>
      </c>
      <c r="AN362" t="s">
        <v>151</v>
      </c>
      <c r="AO362" t="s">
        <v>1281</v>
      </c>
      <c r="AP362" t="s">
        <v>1282</v>
      </c>
      <c r="AQ362" t="s">
        <v>74</v>
      </c>
      <c r="AR362" t="s">
        <v>1283</v>
      </c>
      <c r="AS362" t="s">
        <v>1284</v>
      </c>
      <c r="AT362" t="s">
        <v>5052</v>
      </c>
      <c r="AU362">
        <v>2001</v>
      </c>
      <c r="AV362">
        <v>106</v>
      </c>
      <c r="AW362" t="s">
        <v>5144</v>
      </c>
      <c r="AX362" t="s">
        <v>74</v>
      </c>
      <c r="AY362" t="s">
        <v>74</v>
      </c>
      <c r="AZ362" t="s">
        <v>74</v>
      </c>
      <c r="BA362" t="s">
        <v>74</v>
      </c>
      <c r="BB362">
        <v>15455</v>
      </c>
      <c r="BC362">
        <v>15469</v>
      </c>
      <c r="BD362" t="s">
        <v>74</v>
      </c>
      <c r="BE362" t="s">
        <v>5145</v>
      </c>
      <c r="BF362" t="str">
        <f>HYPERLINK("http://dx.doi.org/10.1029/2000JA000330","http://dx.doi.org/10.1029/2000JA000330")</f>
        <v>http://dx.doi.org/10.1029/2000JA000330</v>
      </c>
      <c r="BG362" t="s">
        <v>74</v>
      </c>
      <c r="BH362" t="s">
        <v>74</v>
      </c>
      <c r="BI362">
        <v>15</v>
      </c>
      <c r="BJ362" t="s">
        <v>1139</v>
      </c>
      <c r="BK362" t="s">
        <v>88</v>
      </c>
      <c r="BL362" t="s">
        <v>1139</v>
      </c>
      <c r="BM362" t="s">
        <v>5146</v>
      </c>
      <c r="BN362" t="s">
        <v>74</v>
      </c>
      <c r="BO362" t="s">
        <v>171</v>
      </c>
      <c r="BP362" t="s">
        <v>74</v>
      </c>
      <c r="BQ362" t="s">
        <v>74</v>
      </c>
      <c r="BR362" t="s">
        <v>91</v>
      </c>
      <c r="BS362" t="s">
        <v>5147</v>
      </c>
      <c r="BT362" t="str">
        <f>HYPERLINK("https%3A%2F%2Fwww.webofscience.com%2Fwos%2Fwoscc%2Ffull-record%2FWOS:000170077400004","View Full Record in Web of Science")</f>
        <v>View Full Record in Web of Science</v>
      </c>
    </row>
    <row r="363" spans="1:72" x14ac:dyDescent="0.15">
      <c r="A363" t="s">
        <v>72</v>
      </c>
      <c r="B363" t="s">
        <v>5148</v>
      </c>
      <c r="C363" t="s">
        <v>74</v>
      </c>
      <c r="D363" t="s">
        <v>74</v>
      </c>
      <c r="E363" t="s">
        <v>74</v>
      </c>
      <c r="F363" t="s">
        <v>5148</v>
      </c>
      <c r="G363" t="s">
        <v>74</v>
      </c>
      <c r="H363" t="s">
        <v>74</v>
      </c>
      <c r="I363" t="s">
        <v>5149</v>
      </c>
      <c r="J363" t="s">
        <v>1272</v>
      </c>
      <c r="K363" t="s">
        <v>74</v>
      </c>
      <c r="L363" t="s">
        <v>74</v>
      </c>
      <c r="M363" t="s">
        <v>77</v>
      </c>
      <c r="N363" t="s">
        <v>120</v>
      </c>
      <c r="O363" t="s">
        <v>74</v>
      </c>
      <c r="P363" t="s">
        <v>74</v>
      </c>
      <c r="Q363" t="s">
        <v>74</v>
      </c>
      <c r="R363" t="s">
        <v>74</v>
      </c>
      <c r="S363" t="s">
        <v>74</v>
      </c>
      <c r="T363" t="s">
        <v>74</v>
      </c>
      <c r="U363" t="s">
        <v>5150</v>
      </c>
      <c r="V363" t="s">
        <v>5151</v>
      </c>
      <c r="W363" t="s">
        <v>5152</v>
      </c>
      <c r="X363" t="s">
        <v>5153</v>
      </c>
      <c r="Y363" t="s">
        <v>5154</v>
      </c>
      <c r="Z363" t="s">
        <v>5155</v>
      </c>
      <c r="AA363" t="s">
        <v>74</v>
      </c>
      <c r="AB363" t="s">
        <v>74</v>
      </c>
      <c r="AC363" t="s">
        <v>74</v>
      </c>
      <c r="AD363" t="s">
        <v>74</v>
      </c>
      <c r="AE363" t="s">
        <v>74</v>
      </c>
      <c r="AF363" t="s">
        <v>74</v>
      </c>
      <c r="AG363">
        <v>39</v>
      </c>
      <c r="AH363">
        <v>9</v>
      </c>
      <c r="AI363">
        <v>10</v>
      </c>
      <c r="AJ363">
        <v>1</v>
      </c>
      <c r="AK363">
        <v>2</v>
      </c>
      <c r="AL363" t="s">
        <v>149</v>
      </c>
      <c r="AM363" t="s">
        <v>150</v>
      </c>
      <c r="AN363" t="s">
        <v>151</v>
      </c>
      <c r="AO363" t="s">
        <v>1281</v>
      </c>
      <c r="AP363" t="s">
        <v>1282</v>
      </c>
      <c r="AQ363" t="s">
        <v>74</v>
      </c>
      <c r="AR363" t="s">
        <v>1283</v>
      </c>
      <c r="AS363" t="s">
        <v>1284</v>
      </c>
      <c r="AT363" t="s">
        <v>5052</v>
      </c>
      <c r="AU363">
        <v>2001</v>
      </c>
      <c r="AV363">
        <v>106</v>
      </c>
      <c r="AW363" t="s">
        <v>5144</v>
      </c>
      <c r="AX363" t="s">
        <v>74</v>
      </c>
      <c r="AY363" t="s">
        <v>74</v>
      </c>
      <c r="AZ363" t="s">
        <v>74</v>
      </c>
      <c r="BA363" t="s">
        <v>74</v>
      </c>
      <c r="BB363">
        <v>15489</v>
      </c>
      <c r="BC363">
        <v>15499</v>
      </c>
      <c r="BD363" t="s">
        <v>74</v>
      </c>
      <c r="BE363" t="s">
        <v>5156</v>
      </c>
      <c r="BF363" t="str">
        <f>HYPERLINK("http://dx.doi.org/10.1029/2001JA000032","http://dx.doi.org/10.1029/2001JA000032")</f>
        <v>http://dx.doi.org/10.1029/2001JA000032</v>
      </c>
      <c r="BG363" t="s">
        <v>74</v>
      </c>
      <c r="BH363" t="s">
        <v>74</v>
      </c>
      <c r="BI363">
        <v>11</v>
      </c>
      <c r="BJ363" t="s">
        <v>1139</v>
      </c>
      <c r="BK363" t="s">
        <v>88</v>
      </c>
      <c r="BL363" t="s">
        <v>1139</v>
      </c>
      <c r="BM363" t="s">
        <v>5146</v>
      </c>
      <c r="BN363" t="s">
        <v>74</v>
      </c>
      <c r="BO363" t="s">
        <v>171</v>
      </c>
      <c r="BP363" t="s">
        <v>74</v>
      </c>
      <c r="BQ363" t="s">
        <v>74</v>
      </c>
      <c r="BR363" t="s">
        <v>91</v>
      </c>
      <c r="BS363" t="s">
        <v>5157</v>
      </c>
      <c r="BT363" t="str">
        <f>HYPERLINK("https%3A%2F%2Fwww.webofscience.com%2Fwos%2Fwoscc%2Ffull-record%2FWOS:000170077400006","View Full Record in Web of Science")</f>
        <v>View Full Record in Web of Science</v>
      </c>
    </row>
    <row r="364" spans="1:72" x14ac:dyDescent="0.15">
      <c r="A364" t="s">
        <v>72</v>
      </c>
      <c r="B364" t="s">
        <v>5158</v>
      </c>
      <c r="C364" t="s">
        <v>74</v>
      </c>
      <c r="D364" t="s">
        <v>74</v>
      </c>
      <c r="E364" t="s">
        <v>74</v>
      </c>
      <c r="F364" t="s">
        <v>5158</v>
      </c>
      <c r="G364" t="s">
        <v>74</v>
      </c>
      <c r="H364" t="s">
        <v>74</v>
      </c>
      <c r="I364" t="s">
        <v>5159</v>
      </c>
      <c r="J364" t="s">
        <v>5160</v>
      </c>
      <c r="K364" t="s">
        <v>74</v>
      </c>
      <c r="L364" t="s">
        <v>74</v>
      </c>
      <c r="M364" t="s">
        <v>77</v>
      </c>
      <c r="N364" t="s">
        <v>120</v>
      </c>
      <c r="O364" t="s">
        <v>74</v>
      </c>
      <c r="P364" t="s">
        <v>74</v>
      </c>
      <c r="Q364" t="s">
        <v>74</v>
      </c>
      <c r="R364" t="s">
        <v>74</v>
      </c>
      <c r="S364" t="s">
        <v>74</v>
      </c>
      <c r="T364" t="s">
        <v>5161</v>
      </c>
      <c r="U364" t="s">
        <v>5162</v>
      </c>
      <c r="V364" t="s">
        <v>5163</v>
      </c>
      <c r="W364" t="s">
        <v>5164</v>
      </c>
      <c r="X364" t="s">
        <v>5165</v>
      </c>
      <c r="Y364" t="s">
        <v>5166</v>
      </c>
      <c r="Z364" t="s">
        <v>5167</v>
      </c>
      <c r="AA364" t="s">
        <v>5168</v>
      </c>
      <c r="AB364" t="s">
        <v>5169</v>
      </c>
      <c r="AC364" t="s">
        <v>74</v>
      </c>
      <c r="AD364" t="s">
        <v>74</v>
      </c>
      <c r="AE364" t="s">
        <v>74</v>
      </c>
      <c r="AF364" t="s">
        <v>74</v>
      </c>
      <c r="AG364">
        <v>58</v>
      </c>
      <c r="AH364">
        <v>116</v>
      </c>
      <c r="AI364">
        <v>124</v>
      </c>
      <c r="AJ364">
        <v>3</v>
      </c>
      <c r="AK364">
        <v>20</v>
      </c>
      <c r="AL364" t="s">
        <v>349</v>
      </c>
      <c r="AM364" t="s">
        <v>350</v>
      </c>
      <c r="AN364" t="s">
        <v>351</v>
      </c>
      <c r="AO364" t="s">
        <v>5170</v>
      </c>
      <c r="AP364" t="s">
        <v>5171</v>
      </c>
      <c r="AQ364" t="s">
        <v>74</v>
      </c>
      <c r="AR364" t="s">
        <v>5172</v>
      </c>
      <c r="AS364" t="s">
        <v>5173</v>
      </c>
      <c r="AT364" t="s">
        <v>4627</v>
      </c>
      <c r="AU364">
        <v>2001</v>
      </c>
      <c r="AV364">
        <v>30</v>
      </c>
      <c r="AW364" t="s">
        <v>495</v>
      </c>
      <c r="AX364" t="s">
        <v>74</v>
      </c>
      <c r="AY364" t="s">
        <v>74</v>
      </c>
      <c r="AZ364" t="s">
        <v>74</v>
      </c>
      <c r="BA364" t="s">
        <v>74</v>
      </c>
      <c r="BB364">
        <v>115</v>
      </c>
      <c r="BC364">
        <v>138</v>
      </c>
      <c r="BD364" t="s">
        <v>74</v>
      </c>
      <c r="BE364" t="s">
        <v>5174</v>
      </c>
      <c r="BF364" t="str">
        <f>HYPERLINK("http://dx.doi.org/10.1016/S0924-7963(01)00041-0","http://dx.doi.org/10.1016/S0924-7963(01)00041-0")</f>
        <v>http://dx.doi.org/10.1016/S0924-7963(01)00041-0</v>
      </c>
      <c r="BG364" t="s">
        <v>74</v>
      </c>
      <c r="BH364" t="s">
        <v>74</v>
      </c>
      <c r="BI364">
        <v>24</v>
      </c>
      <c r="BJ364" t="s">
        <v>5175</v>
      </c>
      <c r="BK364" t="s">
        <v>88</v>
      </c>
      <c r="BL364" t="s">
        <v>5176</v>
      </c>
      <c r="BM364" t="s">
        <v>5177</v>
      </c>
      <c r="BN364" t="s">
        <v>74</v>
      </c>
      <c r="BO364" t="s">
        <v>74</v>
      </c>
      <c r="BP364" t="s">
        <v>74</v>
      </c>
      <c r="BQ364" t="s">
        <v>74</v>
      </c>
      <c r="BR364" t="s">
        <v>91</v>
      </c>
      <c r="BS364" t="s">
        <v>5178</v>
      </c>
      <c r="BT364" t="str">
        <f>HYPERLINK("https%3A%2F%2Fwww.webofscience.com%2Fwos%2Fwoscc%2Ffull-record%2FWOS:000171352900007","View Full Record in Web of Science")</f>
        <v>View Full Record in Web of Science</v>
      </c>
    </row>
    <row r="365" spans="1:72" x14ac:dyDescent="0.15">
      <c r="A365" t="s">
        <v>72</v>
      </c>
      <c r="B365" t="s">
        <v>5179</v>
      </c>
      <c r="C365" t="s">
        <v>74</v>
      </c>
      <c r="D365" t="s">
        <v>74</v>
      </c>
      <c r="E365" t="s">
        <v>74</v>
      </c>
      <c r="F365" t="s">
        <v>5179</v>
      </c>
      <c r="G365" t="s">
        <v>74</v>
      </c>
      <c r="H365" t="s">
        <v>74</v>
      </c>
      <c r="I365" t="s">
        <v>5180</v>
      </c>
      <c r="J365" t="s">
        <v>5181</v>
      </c>
      <c r="K365" t="s">
        <v>74</v>
      </c>
      <c r="L365" t="s">
        <v>74</v>
      </c>
      <c r="M365" t="s">
        <v>77</v>
      </c>
      <c r="N365" t="s">
        <v>120</v>
      </c>
      <c r="O365" t="s">
        <v>74</v>
      </c>
      <c r="P365" t="s">
        <v>74</v>
      </c>
      <c r="Q365" t="s">
        <v>74</v>
      </c>
      <c r="R365" t="s">
        <v>74</v>
      </c>
      <c r="S365" t="s">
        <v>74</v>
      </c>
      <c r="T365" t="s">
        <v>5182</v>
      </c>
      <c r="U365" t="s">
        <v>5183</v>
      </c>
      <c r="V365" t="s">
        <v>5184</v>
      </c>
      <c r="W365" t="s">
        <v>5185</v>
      </c>
      <c r="X365" t="s">
        <v>5186</v>
      </c>
      <c r="Y365" t="s">
        <v>5187</v>
      </c>
      <c r="Z365" t="s">
        <v>5188</v>
      </c>
      <c r="AA365" t="s">
        <v>5189</v>
      </c>
      <c r="AB365" t="s">
        <v>5190</v>
      </c>
      <c r="AC365" t="s">
        <v>74</v>
      </c>
      <c r="AD365" t="s">
        <v>74</v>
      </c>
      <c r="AE365" t="s">
        <v>74</v>
      </c>
      <c r="AF365" t="s">
        <v>74</v>
      </c>
      <c r="AG365">
        <v>44</v>
      </c>
      <c r="AH365">
        <v>39</v>
      </c>
      <c r="AI365">
        <v>43</v>
      </c>
      <c r="AJ365">
        <v>0</v>
      </c>
      <c r="AK365">
        <v>9</v>
      </c>
      <c r="AL365" t="s">
        <v>1247</v>
      </c>
      <c r="AM365" t="s">
        <v>1248</v>
      </c>
      <c r="AN365" t="s">
        <v>1249</v>
      </c>
      <c r="AO365" t="s">
        <v>5191</v>
      </c>
      <c r="AP365" t="s">
        <v>5192</v>
      </c>
      <c r="AQ365" t="s">
        <v>74</v>
      </c>
      <c r="AR365" t="s">
        <v>5193</v>
      </c>
      <c r="AS365" t="s">
        <v>5194</v>
      </c>
      <c r="AT365" t="s">
        <v>4627</v>
      </c>
      <c r="AU365">
        <v>2001</v>
      </c>
      <c r="AV365">
        <v>37</v>
      </c>
      <c r="AW365">
        <v>4</v>
      </c>
      <c r="AX365" t="s">
        <v>74</v>
      </c>
      <c r="AY365" t="s">
        <v>74</v>
      </c>
      <c r="AZ365" t="s">
        <v>74</v>
      </c>
      <c r="BA365" t="s">
        <v>74</v>
      </c>
      <c r="BB365">
        <v>459</v>
      </c>
      <c r="BC365">
        <v>467</v>
      </c>
      <c r="BD365" t="s">
        <v>74</v>
      </c>
      <c r="BE365" t="s">
        <v>5195</v>
      </c>
      <c r="BF365" t="str">
        <f>HYPERLINK("http://dx.doi.org/10.1046/j.1529-8817.2001.037004459.x","http://dx.doi.org/10.1046/j.1529-8817.2001.037004459.x")</f>
        <v>http://dx.doi.org/10.1046/j.1529-8817.2001.037004459.x</v>
      </c>
      <c r="BG365" t="s">
        <v>74</v>
      </c>
      <c r="BH365" t="s">
        <v>74</v>
      </c>
      <c r="BI365">
        <v>9</v>
      </c>
      <c r="BJ365" t="s">
        <v>1035</v>
      </c>
      <c r="BK365" t="s">
        <v>88</v>
      </c>
      <c r="BL365" t="s">
        <v>1035</v>
      </c>
      <c r="BM365" t="s">
        <v>5196</v>
      </c>
      <c r="BN365" t="s">
        <v>74</v>
      </c>
      <c r="BO365" t="s">
        <v>74</v>
      </c>
      <c r="BP365" t="s">
        <v>74</v>
      </c>
      <c r="BQ365" t="s">
        <v>74</v>
      </c>
      <c r="BR365" t="s">
        <v>91</v>
      </c>
      <c r="BS365" t="s">
        <v>5197</v>
      </c>
      <c r="BT365" t="str">
        <f>HYPERLINK("https%3A%2F%2Fwww.webofscience.com%2Fwos%2Fwoscc%2Ffull-record%2FWOS:000170690400003","View Full Record in Web of Science")</f>
        <v>View Full Record in Web of Science</v>
      </c>
    </row>
    <row r="366" spans="1:72" x14ac:dyDescent="0.15">
      <c r="A366" t="s">
        <v>72</v>
      </c>
      <c r="B366" t="s">
        <v>5198</v>
      </c>
      <c r="C366" t="s">
        <v>74</v>
      </c>
      <c r="D366" t="s">
        <v>74</v>
      </c>
      <c r="E366" t="s">
        <v>74</v>
      </c>
      <c r="F366" t="s">
        <v>5198</v>
      </c>
      <c r="G366" t="s">
        <v>74</v>
      </c>
      <c r="H366" t="s">
        <v>74</v>
      </c>
      <c r="I366" t="s">
        <v>5199</v>
      </c>
      <c r="J366" t="s">
        <v>5181</v>
      </c>
      <c r="K366" t="s">
        <v>74</v>
      </c>
      <c r="L366" t="s">
        <v>74</v>
      </c>
      <c r="M366" t="s">
        <v>77</v>
      </c>
      <c r="N366" t="s">
        <v>120</v>
      </c>
      <c r="O366" t="s">
        <v>74</v>
      </c>
      <c r="P366" t="s">
        <v>74</v>
      </c>
      <c r="Q366" t="s">
        <v>74</v>
      </c>
      <c r="R366" t="s">
        <v>74</v>
      </c>
      <c r="S366" t="s">
        <v>74</v>
      </c>
      <c r="T366" t="s">
        <v>5200</v>
      </c>
      <c r="U366" t="s">
        <v>5201</v>
      </c>
      <c r="V366" t="s">
        <v>5202</v>
      </c>
      <c r="W366" t="s">
        <v>5203</v>
      </c>
      <c r="X366" t="s">
        <v>5204</v>
      </c>
      <c r="Y366" t="s">
        <v>5205</v>
      </c>
      <c r="Z366" t="s">
        <v>74</v>
      </c>
      <c r="AA366" t="s">
        <v>5206</v>
      </c>
      <c r="AB366" t="s">
        <v>5207</v>
      </c>
      <c r="AC366" t="s">
        <v>74</v>
      </c>
      <c r="AD366" t="s">
        <v>74</v>
      </c>
      <c r="AE366" t="s">
        <v>74</v>
      </c>
      <c r="AF366" t="s">
        <v>74</v>
      </c>
      <c r="AG366">
        <v>31</v>
      </c>
      <c r="AH366">
        <v>71</v>
      </c>
      <c r="AI366">
        <v>79</v>
      </c>
      <c r="AJ366">
        <v>0</v>
      </c>
      <c r="AK366">
        <v>18</v>
      </c>
      <c r="AL366" t="s">
        <v>5208</v>
      </c>
      <c r="AM366" t="s">
        <v>5209</v>
      </c>
      <c r="AN366" t="s">
        <v>5210</v>
      </c>
      <c r="AO366" t="s">
        <v>5191</v>
      </c>
      <c r="AP366" t="s">
        <v>74</v>
      </c>
      <c r="AQ366" t="s">
        <v>74</v>
      </c>
      <c r="AR366" t="s">
        <v>5193</v>
      </c>
      <c r="AS366" t="s">
        <v>5194</v>
      </c>
      <c r="AT366" t="s">
        <v>4627</v>
      </c>
      <c r="AU366">
        <v>2001</v>
      </c>
      <c r="AV366">
        <v>37</v>
      </c>
      <c r="AW366">
        <v>4</v>
      </c>
      <c r="AX366" t="s">
        <v>74</v>
      </c>
      <c r="AY366" t="s">
        <v>74</v>
      </c>
      <c r="AZ366" t="s">
        <v>74</v>
      </c>
      <c r="BA366" t="s">
        <v>74</v>
      </c>
      <c r="BB366">
        <v>650</v>
      </c>
      <c r="BC366">
        <v>654</v>
      </c>
      <c r="BD366" t="s">
        <v>74</v>
      </c>
      <c r="BE366" t="s">
        <v>5211</v>
      </c>
      <c r="BF366" t="str">
        <f>HYPERLINK("http://dx.doi.org/10.1046/j.1529-8817.2001.037004650.x","http://dx.doi.org/10.1046/j.1529-8817.2001.037004650.x")</f>
        <v>http://dx.doi.org/10.1046/j.1529-8817.2001.037004650.x</v>
      </c>
      <c r="BG366" t="s">
        <v>74</v>
      </c>
      <c r="BH366" t="s">
        <v>74</v>
      </c>
      <c r="BI366">
        <v>5</v>
      </c>
      <c r="BJ366" t="s">
        <v>1035</v>
      </c>
      <c r="BK366" t="s">
        <v>88</v>
      </c>
      <c r="BL366" t="s">
        <v>1035</v>
      </c>
      <c r="BM366" t="s">
        <v>5196</v>
      </c>
      <c r="BN366" t="s">
        <v>74</v>
      </c>
      <c r="BO366" t="s">
        <v>74</v>
      </c>
      <c r="BP366" t="s">
        <v>74</v>
      </c>
      <c r="BQ366" t="s">
        <v>74</v>
      </c>
      <c r="BR366" t="s">
        <v>91</v>
      </c>
      <c r="BS366" t="s">
        <v>5212</v>
      </c>
      <c r="BT366" t="str">
        <f>HYPERLINK("https%3A%2F%2Fwww.webofscience.com%2Fwos%2Fwoscc%2Ffull-record%2FWOS:000170690400021","View Full Record in Web of Science")</f>
        <v>View Full Record in Web of Science</v>
      </c>
    </row>
    <row r="367" spans="1:72" x14ac:dyDescent="0.15">
      <c r="A367" t="s">
        <v>72</v>
      </c>
      <c r="B367" t="s">
        <v>5213</v>
      </c>
      <c r="C367" t="s">
        <v>74</v>
      </c>
      <c r="D367" t="s">
        <v>74</v>
      </c>
      <c r="E367" t="s">
        <v>74</v>
      </c>
      <c r="F367" t="s">
        <v>5213</v>
      </c>
      <c r="G367" t="s">
        <v>74</v>
      </c>
      <c r="H367" t="s">
        <v>74</v>
      </c>
      <c r="I367" t="s">
        <v>5214</v>
      </c>
      <c r="J367" t="s">
        <v>2560</v>
      </c>
      <c r="K367" t="s">
        <v>74</v>
      </c>
      <c r="L367" t="s">
        <v>74</v>
      </c>
      <c r="M367" t="s">
        <v>77</v>
      </c>
      <c r="N367" t="s">
        <v>120</v>
      </c>
      <c r="O367" t="s">
        <v>74</v>
      </c>
      <c r="P367" t="s">
        <v>74</v>
      </c>
      <c r="Q367" t="s">
        <v>74</v>
      </c>
      <c r="R367" t="s">
        <v>74</v>
      </c>
      <c r="S367" t="s">
        <v>74</v>
      </c>
      <c r="T367" t="s">
        <v>74</v>
      </c>
      <c r="U367" t="s">
        <v>5215</v>
      </c>
      <c r="V367" t="s">
        <v>5216</v>
      </c>
      <c r="W367" t="s">
        <v>5217</v>
      </c>
      <c r="X367" t="s">
        <v>5218</v>
      </c>
      <c r="Y367" t="s">
        <v>5219</v>
      </c>
      <c r="Z367" t="s">
        <v>74</v>
      </c>
      <c r="AA367" t="s">
        <v>74</v>
      </c>
      <c r="AB367" t="s">
        <v>74</v>
      </c>
      <c r="AC367" t="s">
        <v>74</v>
      </c>
      <c r="AD367" t="s">
        <v>74</v>
      </c>
      <c r="AE367" t="s">
        <v>74</v>
      </c>
      <c r="AF367" t="s">
        <v>74</v>
      </c>
      <c r="AG367">
        <v>46</v>
      </c>
      <c r="AH367">
        <v>10</v>
      </c>
      <c r="AI367">
        <v>10</v>
      </c>
      <c r="AJ367">
        <v>0</v>
      </c>
      <c r="AK367">
        <v>11</v>
      </c>
      <c r="AL367" t="s">
        <v>273</v>
      </c>
      <c r="AM367" t="s">
        <v>80</v>
      </c>
      <c r="AN367" t="s">
        <v>274</v>
      </c>
      <c r="AO367" t="s">
        <v>2569</v>
      </c>
      <c r="AP367" t="s">
        <v>74</v>
      </c>
      <c r="AQ367" t="s">
        <v>74</v>
      </c>
      <c r="AR367" t="s">
        <v>2571</v>
      </c>
      <c r="AS367" t="s">
        <v>2572</v>
      </c>
      <c r="AT367" t="s">
        <v>4627</v>
      </c>
      <c r="AU367">
        <v>2001</v>
      </c>
      <c r="AV367">
        <v>23</v>
      </c>
      <c r="AW367">
        <v>8</v>
      </c>
      <c r="AX367" t="s">
        <v>74</v>
      </c>
      <c r="AY367" t="s">
        <v>74</v>
      </c>
      <c r="AZ367" t="s">
        <v>74</v>
      </c>
      <c r="BA367" t="s">
        <v>74</v>
      </c>
      <c r="BB367">
        <v>875</v>
      </c>
      <c r="BC367">
        <v>888</v>
      </c>
      <c r="BD367" t="s">
        <v>74</v>
      </c>
      <c r="BE367" t="s">
        <v>5220</v>
      </c>
      <c r="BF367" t="str">
        <f>HYPERLINK("http://dx.doi.org/10.1093/plankt/23.8.875","http://dx.doi.org/10.1093/plankt/23.8.875")</f>
        <v>http://dx.doi.org/10.1093/plankt/23.8.875</v>
      </c>
      <c r="BG367" t="s">
        <v>74</v>
      </c>
      <c r="BH367" t="s">
        <v>74</v>
      </c>
      <c r="BI367">
        <v>14</v>
      </c>
      <c r="BJ367" t="s">
        <v>2574</v>
      </c>
      <c r="BK367" t="s">
        <v>88</v>
      </c>
      <c r="BL367" t="s">
        <v>2574</v>
      </c>
      <c r="BM367" t="s">
        <v>5221</v>
      </c>
      <c r="BN367" t="s">
        <v>74</v>
      </c>
      <c r="BO367" t="s">
        <v>171</v>
      </c>
      <c r="BP367" t="s">
        <v>74</v>
      </c>
      <c r="BQ367" t="s">
        <v>74</v>
      </c>
      <c r="BR367" t="s">
        <v>91</v>
      </c>
      <c r="BS367" t="s">
        <v>5222</v>
      </c>
      <c r="BT367" t="str">
        <f>HYPERLINK("https%3A%2F%2Fwww.webofscience.com%2Fwos%2Fwoscc%2Ffull-record%2FWOS:000170906600009","View Full Record in Web of Science")</f>
        <v>View Full Record in Web of Science</v>
      </c>
    </row>
    <row r="368" spans="1:72" x14ac:dyDescent="0.15">
      <c r="A368" t="s">
        <v>72</v>
      </c>
      <c r="B368" t="s">
        <v>5223</v>
      </c>
      <c r="C368" t="s">
        <v>74</v>
      </c>
      <c r="D368" t="s">
        <v>74</v>
      </c>
      <c r="E368" t="s">
        <v>74</v>
      </c>
      <c r="F368" t="s">
        <v>5223</v>
      </c>
      <c r="G368" t="s">
        <v>74</v>
      </c>
      <c r="H368" t="s">
        <v>74</v>
      </c>
      <c r="I368" t="s">
        <v>5224</v>
      </c>
      <c r="J368" t="s">
        <v>5225</v>
      </c>
      <c r="K368" t="s">
        <v>74</v>
      </c>
      <c r="L368" t="s">
        <v>74</v>
      </c>
      <c r="M368" t="s">
        <v>77</v>
      </c>
      <c r="N368" t="s">
        <v>120</v>
      </c>
      <c r="O368" t="s">
        <v>74</v>
      </c>
      <c r="P368" t="s">
        <v>74</v>
      </c>
      <c r="Q368" t="s">
        <v>74</v>
      </c>
      <c r="R368" t="s">
        <v>74</v>
      </c>
      <c r="S368" t="s">
        <v>74</v>
      </c>
      <c r="T368" t="s">
        <v>74</v>
      </c>
      <c r="U368" t="s">
        <v>5226</v>
      </c>
      <c r="V368" t="s">
        <v>5227</v>
      </c>
      <c r="W368" t="s">
        <v>5228</v>
      </c>
      <c r="X368" t="s">
        <v>74</v>
      </c>
      <c r="Y368" t="s">
        <v>5229</v>
      </c>
      <c r="Z368" t="s">
        <v>74</v>
      </c>
      <c r="AA368" t="s">
        <v>74</v>
      </c>
      <c r="AB368" t="s">
        <v>74</v>
      </c>
      <c r="AC368" t="s">
        <v>74</v>
      </c>
      <c r="AD368" t="s">
        <v>74</v>
      </c>
      <c r="AE368" t="s">
        <v>74</v>
      </c>
      <c r="AF368" t="s">
        <v>74</v>
      </c>
      <c r="AG368">
        <v>19</v>
      </c>
      <c r="AH368">
        <v>12</v>
      </c>
      <c r="AI368">
        <v>13</v>
      </c>
      <c r="AJ368">
        <v>0</v>
      </c>
      <c r="AK368">
        <v>0</v>
      </c>
      <c r="AL368" t="s">
        <v>1293</v>
      </c>
      <c r="AM368" t="s">
        <v>3243</v>
      </c>
      <c r="AN368" t="s">
        <v>3244</v>
      </c>
      <c r="AO368" t="s">
        <v>5230</v>
      </c>
      <c r="AP368" t="s">
        <v>74</v>
      </c>
      <c r="AQ368" t="s">
        <v>74</v>
      </c>
      <c r="AR368" t="s">
        <v>5231</v>
      </c>
      <c r="AS368" t="s">
        <v>5232</v>
      </c>
      <c r="AT368" t="s">
        <v>4627</v>
      </c>
      <c r="AU368">
        <v>2001</v>
      </c>
      <c r="AV368">
        <v>81</v>
      </c>
      <c r="AW368">
        <v>4</v>
      </c>
      <c r="AX368" t="s">
        <v>74</v>
      </c>
      <c r="AY368" t="s">
        <v>74</v>
      </c>
      <c r="AZ368" t="s">
        <v>74</v>
      </c>
      <c r="BA368" t="s">
        <v>74</v>
      </c>
      <c r="BB368">
        <v>643</v>
      </c>
      <c r="BC368">
        <v>649</v>
      </c>
      <c r="BD368" t="s">
        <v>74</v>
      </c>
      <c r="BE368" t="s">
        <v>5233</v>
      </c>
      <c r="BF368" t="str">
        <f>HYPERLINK("http://dx.doi.org/10.1017/S0025315401004313","http://dx.doi.org/10.1017/S0025315401004313")</f>
        <v>http://dx.doi.org/10.1017/S0025315401004313</v>
      </c>
      <c r="BG368" t="s">
        <v>74</v>
      </c>
      <c r="BH368" t="s">
        <v>74</v>
      </c>
      <c r="BI368">
        <v>7</v>
      </c>
      <c r="BJ368" t="s">
        <v>323</v>
      </c>
      <c r="BK368" t="s">
        <v>88</v>
      </c>
      <c r="BL368" t="s">
        <v>323</v>
      </c>
      <c r="BM368" t="s">
        <v>5234</v>
      </c>
      <c r="BN368" t="s">
        <v>74</v>
      </c>
      <c r="BO368" t="s">
        <v>74</v>
      </c>
      <c r="BP368" t="s">
        <v>74</v>
      </c>
      <c r="BQ368" t="s">
        <v>74</v>
      </c>
      <c r="BR368" t="s">
        <v>91</v>
      </c>
      <c r="BS368" t="s">
        <v>5235</v>
      </c>
      <c r="BT368" t="str">
        <f>HYPERLINK("https%3A%2F%2Fwww.webofscience.com%2Fwos%2Fwoscc%2Ffull-record%2FWOS:000171408300010","View Full Record in Web of Science")</f>
        <v>View Full Record in Web of Science</v>
      </c>
    </row>
    <row r="369" spans="1:72" x14ac:dyDescent="0.15">
      <c r="A369" t="s">
        <v>72</v>
      </c>
      <c r="B369" t="s">
        <v>5236</v>
      </c>
      <c r="C369" t="s">
        <v>74</v>
      </c>
      <c r="D369" t="s">
        <v>74</v>
      </c>
      <c r="E369" t="s">
        <v>74</v>
      </c>
      <c r="F369" t="s">
        <v>5236</v>
      </c>
      <c r="G369" t="s">
        <v>74</v>
      </c>
      <c r="H369" t="s">
        <v>74</v>
      </c>
      <c r="I369" t="s">
        <v>5237</v>
      </c>
      <c r="J369" t="s">
        <v>5238</v>
      </c>
      <c r="K369" t="s">
        <v>74</v>
      </c>
      <c r="L369" t="s">
        <v>74</v>
      </c>
      <c r="M369" t="s">
        <v>77</v>
      </c>
      <c r="N369" t="s">
        <v>696</v>
      </c>
      <c r="O369" t="s">
        <v>74</v>
      </c>
      <c r="P369" t="s">
        <v>74</v>
      </c>
      <c r="Q369" t="s">
        <v>74</v>
      </c>
      <c r="R369" t="s">
        <v>74</v>
      </c>
      <c r="S369" t="s">
        <v>74</v>
      </c>
      <c r="T369" t="s">
        <v>74</v>
      </c>
      <c r="U369" t="s">
        <v>74</v>
      </c>
      <c r="V369" t="s">
        <v>74</v>
      </c>
      <c r="W369" t="s">
        <v>74</v>
      </c>
      <c r="X369" t="s">
        <v>74</v>
      </c>
      <c r="Y369" t="s">
        <v>74</v>
      </c>
      <c r="Z369" t="s">
        <v>74</v>
      </c>
      <c r="AA369" t="s">
        <v>74</v>
      </c>
      <c r="AB369" t="s">
        <v>74</v>
      </c>
      <c r="AC369" t="s">
        <v>74</v>
      </c>
      <c r="AD369" t="s">
        <v>74</v>
      </c>
      <c r="AE369" t="s">
        <v>74</v>
      </c>
      <c r="AF369" t="s">
        <v>74</v>
      </c>
      <c r="AG369">
        <v>1</v>
      </c>
      <c r="AH369">
        <v>0</v>
      </c>
      <c r="AI369">
        <v>0</v>
      </c>
      <c r="AJ369">
        <v>0</v>
      </c>
      <c r="AK369">
        <v>0</v>
      </c>
      <c r="AL369" t="s">
        <v>5239</v>
      </c>
      <c r="AM369" t="s">
        <v>204</v>
      </c>
      <c r="AN369" t="s">
        <v>5240</v>
      </c>
      <c r="AO369" t="s">
        <v>5241</v>
      </c>
      <c r="AP369" t="s">
        <v>74</v>
      </c>
      <c r="AQ369" t="s">
        <v>74</v>
      </c>
      <c r="AR369" t="s">
        <v>5242</v>
      </c>
      <c r="AS369" t="s">
        <v>5243</v>
      </c>
      <c r="AT369" t="s">
        <v>4627</v>
      </c>
      <c r="AU369">
        <v>2001</v>
      </c>
      <c r="AV369">
        <v>126</v>
      </c>
      <c r="AW369">
        <v>13</v>
      </c>
      <c r="AX369" t="s">
        <v>74</v>
      </c>
      <c r="AY369" t="s">
        <v>74</v>
      </c>
      <c r="AZ369" t="s">
        <v>74</v>
      </c>
      <c r="BA369" t="s">
        <v>74</v>
      </c>
      <c r="BB369">
        <v>145</v>
      </c>
      <c r="BC369">
        <v>145</v>
      </c>
      <c r="BD369" t="s">
        <v>74</v>
      </c>
      <c r="BE369" t="s">
        <v>74</v>
      </c>
      <c r="BF369" t="s">
        <v>74</v>
      </c>
      <c r="BG369" t="s">
        <v>74</v>
      </c>
      <c r="BH369" t="s">
        <v>74</v>
      </c>
      <c r="BI369">
        <v>1</v>
      </c>
      <c r="BJ369" t="s">
        <v>5244</v>
      </c>
      <c r="BK369" t="s">
        <v>1796</v>
      </c>
      <c r="BL369" t="s">
        <v>5244</v>
      </c>
      <c r="BM369" t="s">
        <v>5245</v>
      </c>
      <c r="BN369" t="s">
        <v>74</v>
      </c>
      <c r="BO369" t="s">
        <v>74</v>
      </c>
      <c r="BP369" t="s">
        <v>74</v>
      </c>
      <c r="BQ369" t="s">
        <v>74</v>
      </c>
      <c r="BR369" t="s">
        <v>91</v>
      </c>
      <c r="BS369" t="s">
        <v>5246</v>
      </c>
      <c r="BT369" t="str">
        <f>HYPERLINK("https%3A%2F%2Fwww.webofscience.com%2Fwos%2Fwoscc%2Ffull-record%2FWOS:000170480400285","View Full Record in Web of Science")</f>
        <v>View Full Record in Web of Science</v>
      </c>
    </row>
    <row r="370" spans="1:72" x14ac:dyDescent="0.15">
      <c r="A370" t="s">
        <v>72</v>
      </c>
      <c r="B370" t="s">
        <v>5247</v>
      </c>
      <c r="C370" t="s">
        <v>74</v>
      </c>
      <c r="D370" t="s">
        <v>74</v>
      </c>
      <c r="E370" t="s">
        <v>74</v>
      </c>
      <c r="F370" t="s">
        <v>5247</v>
      </c>
      <c r="G370" t="s">
        <v>74</v>
      </c>
      <c r="H370" t="s">
        <v>74</v>
      </c>
      <c r="I370" t="s">
        <v>5248</v>
      </c>
      <c r="J370" t="s">
        <v>1415</v>
      </c>
      <c r="K370" t="s">
        <v>74</v>
      </c>
      <c r="L370" t="s">
        <v>74</v>
      </c>
      <c r="M370" t="s">
        <v>77</v>
      </c>
      <c r="N370" t="s">
        <v>120</v>
      </c>
      <c r="O370" t="s">
        <v>74</v>
      </c>
      <c r="P370" t="s">
        <v>74</v>
      </c>
      <c r="Q370" t="s">
        <v>74</v>
      </c>
      <c r="R370" t="s">
        <v>74</v>
      </c>
      <c r="S370" t="s">
        <v>74</v>
      </c>
      <c r="T370" t="s">
        <v>74</v>
      </c>
      <c r="U370" t="s">
        <v>5249</v>
      </c>
      <c r="V370" t="s">
        <v>5250</v>
      </c>
      <c r="W370" t="s">
        <v>5251</v>
      </c>
      <c r="X370" t="s">
        <v>462</v>
      </c>
      <c r="Y370" t="s">
        <v>5252</v>
      </c>
      <c r="Z370" t="s">
        <v>74</v>
      </c>
      <c r="AA370" t="s">
        <v>5253</v>
      </c>
      <c r="AB370" t="s">
        <v>74</v>
      </c>
      <c r="AC370" t="s">
        <v>74</v>
      </c>
      <c r="AD370" t="s">
        <v>74</v>
      </c>
      <c r="AE370" t="s">
        <v>74</v>
      </c>
      <c r="AF370" t="s">
        <v>74</v>
      </c>
      <c r="AG370">
        <v>62</v>
      </c>
      <c r="AH370">
        <v>24</v>
      </c>
      <c r="AI370">
        <v>27</v>
      </c>
      <c r="AJ370">
        <v>0</v>
      </c>
      <c r="AK370">
        <v>4</v>
      </c>
      <c r="AL370" t="s">
        <v>203</v>
      </c>
      <c r="AM370" t="s">
        <v>204</v>
      </c>
      <c r="AN370" t="s">
        <v>205</v>
      </c>
      <c r="AO370" t="s">
        <v>1421</v>
      </c>
      <c r="AP370" t="s">
        <v>74</v>
      </c>
      <c r="AQ370" t="s">
        <v>74</v>
      </c>
      <c r="AR370" t="s">
        <v>1422</v>
      </c>
      <c r="AS370" t="s">
        <v>1423</v>
      </c>
      <c r="AT370" t="s">
        <v>4627</v>
      </c>
      <c r="AU370">
        <v>2001</v>
      </c>
      <c r="AV370">
        <v>139</v>
      </c>
      <c r="AW370">
        <v>2</v>
      </c>
      <c r="AX370" t="s">
        <v>74</v>
      </c>
      <c r="AY370" t="s">
        <v>74</v>
      </c>
      <c r="AZ370" t="s">
        <v>74</v>
      </c>
      <c r="BA370" t="s">
        <v>74</v>
      </c>
      <c r="BB370">
        <v>301</v>
      </c>
      <c r="BC370">
        <v>311</v>
      </c>
      <c r="BD370" t="s">
        <v>74</v>
      </c>
      <c r="BE370" t="s">
        <v>74</v>
      </c>
      <c r="BF370" t="s">
        <v>74</v>
      </c>
      <c r="BG370" t="s">
        <v>74</v>
      </c>
      <c r="BH370" t="s">
        <v>74</v>
      </c>
      <c r="BI370">
        <v>11</v>
      </c>
      <c r="BJ370" t="s">
        <v>323</v>
      </c>
      <c r="BK370" t="s">
        <v>88</v>
      </c>
      <c r="BL370" t="s">
        <v>323</v>
      </c>
      <c r="BM370" t="s">
        <v>5254</v>
      </c>
      <c r="BN370" t="s">
        <v>74</v>
      </c>
      <c r="BO370" t="s">
        <v>74</v>
      </c>
      <c r="BP370" t="s">
        <v>74</v>
      </c>
      <c r="BQ370" t="s">
        <v>74</v>
      </c>
      <c r="BR370" t="s">
        <v>91</v>
      </c>
      <c r="BS370" t="s">
        <v>5255</v>
      </c>
      <c r="BT370" t="str">
        <f>HYPERLINK("https%3A%2F%2Fwww.webofscience.com%2Fwos%2Fwoscc%2Ffull-record%2FWOS:000170744200009","View Full Record in Web of Science")</f>
        <v>View Full Record in Web of Science</v>
      </c>
    </row>
    <row r="371" spans="1:72" x14ac:dyDescent="0.15">
      <c r="A371" t="s">
        <v>72</v>
      </c>
      <c r="B371" t="s">
        <v>5256</v>
      </c>
      <c r="C371" t="s">
        <v>74</v>
      </c>
      <c r="D371" t="s">
        <v>74</v>
      </c>
      <c r="E371" t="s">
        <v>74</v>
      </c>
      <c r="F371" t="s">
        <v>5256</v>
      </c>
      <c r="G371" t="s">
        <v>74</v>
      </c>
      <c r="H371" t="s">
        <v>74</v>
      </c>
      <c r="I371" t="s">
        <v>5257</v>
      </c>
      <c r="J371" t="s">
        <v>5258</v>
      </c>
      <c r="K371" t="s">
        <v>74</v>
      </c>
      <c r="L371" t="s">
        <v>74</v>
      </c>
      <c r="M371" t="s">
        <v>77</v>
      </c>
      <c r="N371" t="s">
        <v>120</v>
      </c>
      <c r="O371" t="s">
        <v>74</v>
      </c>
      <c r="P371" t="s">
        <v>74</v>
      </c>
      <c r="Q371" t="s">
        <v>74</v>
      </c>
      <c r="R371" t="s">
        <v>74</v>
      </c>
      <c r="S371" t="s">
        <v>74</v>
      </c>
      <c r="T371" t="s">
        <v>5259</v>
      </c>
      <c r="U371" t="s">
        <v>5260</v>
      </c>
      <c r="V371" t="s">
        <v>5261</v>
      </c>
      <c r="W371" t="s">
        <v>5262</v>
      </c>
      <c r="X371" t="s">
        <v>5263</v>
      </c>
      <c r="Y371" t="s">
        <v>5264</v>
      </c>
      <c r="Z371" t="s">
        <v>74</v>
      </c>
      <c r="AA371" t="s">
        <v>5265</v>
      </c>
      <c r="AB371" t="s">
        <v>5266</v>
      </c>
      <c r="AC371" t="s">
        <v>74</v>
      </c>
      <c r="AD371" t="s">
        <v>74</v>
      </c>
      <c r="AE371" t="s">
        <v>74</v>
      </c>
      <c r="AF371" t="s">
        <v>74</v>
      </c>
      <c r="AG371">
        <v>16</v>
      </c>
      <c r="AH371">
        <v>15</v>
      </c>
      <c r="AI371">
        <v>16</v>
      </c>
      <c r="AJ371">
        <v>0</v>
      </c>
      <c r="AK371">
        <v>4</v>
      </c>
      <c r="AL371" t="s">
        <v>488</v>
      </c>
      <c r="AM371" t="s">
        <v>350</v>
      </c>
      <c r="AN371" t="s">
        <v>489</v>
      </c>
      <c r="AO371" t="s">
        <v>5267</v>
      </c>
      <c r="AP371" t="s">
        <v>74</v>
      </c>
      <c r="AQ371" t="s">
        <v>74</v>
      </c>
      <c r="AR371" t="s">
        <v>5268</v>
      </c>
      <c r="AS371" t="s">
        <v>5269</v>
      </c>
      <c r="AT371" t="s">
        <v>4627</v>
      </c>
      <c r="AU371">
        <v>2001</v>
      </c>
      <c r="AV371">
        <v>69</v>
      </c>
      <c r="AW371">
        <v>3</v>
      </c>
      <c r="AX371" t="s">
        <v>74</v>
      </c>
      <c r="AY371" t="s">
        <v>74</v>
      </c>
      <c r="AZ371" t="s">
        <v>74</v>
      </c>
      <c r="BA371" t="s">
        <v>74</v>
      </c>
      <c r="BB371">
        <v>231</v>
      </c>
      <c r="BC371">
        <v>238</v>
      </c>
      <c r="BD371" t="s">
        <v>74</v>
      </c>
      <c r="BE371" t="s">
        <v>5270</v>
      </c>
      <c r="BF371" t="str">
        <f>HYPERLINK("http://dx.doi.org/10.1016/S0026-265X(01)00091-1","http://dx.doi.org/10.1016/S0026-265X(01)00091-1")</f>
        <v>http://dx.doi.org/10.1016/S0026-265X(01)00091-1</v>
      </c>
      <c r="BG371" t="s">
        <v>74</v>
      </c>
      <c r="BH371" t="s">
        <v>74</v>
      </c>
      <c r="BI371">
        <v>8</v>
      </c>
      <c r="BJ371" t="s">
        <v>1813</v>
      </c>
      <c r="BK371" t="s">
        <v>88</v>
      </c>
      <c r="BL371" t="s">
        <v>517</v>
      </c>
      <c r="BM371" t="s">
        <v>5271</v>
      </c>
      <c r="BN371" t="s">
        <v>74</v>
      </c>
      <c r="BO371" t="s">
        <v>74</v>
      </c>
      <c r="BP371" t="s">
        <v>74</v>
      </c>
      <c r="BQ371" t="s">
        <v>74</v>
      </c>
      <c r="BR371" t="s">
        <v>91</v>
      </c>
      <c r="BS371" t="s">
        <v>5272</v>
      </c>
      <c r="BT371" t="str">
        <f>HYPERLINK("https%3A%2F%2Fwww.webofscience.com%2Fwos%2Fwoscc%2Ffull-record%2FWOS:000170583500008","View Full Record in Web of Science")</f>
        <v>View Full Record in Web of Science</v>
      </c>
    </row>
    <row r="372" spans="1:72" x14ac:dyDescent="0.15">
      <c r="A372" t="s">
        <v>72</v>
      </c>
      <c r="B372" t="s">
        <v>5273</v>
      </c>
      <c r="C372" t="s">
        <v>74</v>
      </c>
      <c r="D372" t="s">
        <v>74</v>
      </c>
      <c r="E372" t="s">
        <v>74</v>
      </c>
      <c r="F372" t="s">
        <v>5273</v>
      </c>
      <c r="G372" t="s">
        <v>74</v>
      </c>
      <c r="H372" t="s">
        <v>74</v>
      </c>
      <c r="I372" t="s">
        <v>5274</v>
      </c>
      <c r="J372" t="s">
        <v>1540</v>
      </c>
      <c r="K372" t="s">
        <v>74</v>
      </c>
      <c r="L372" t="s">
        <v>74</v>
      </c>
      <c r="M372" t="s">
        <v>77</v>
      </c>
      <c r="N372" t="s">
        <v>96</v>
      </c>
      <c r="O372" t="s">
        <v>74</v>
      </c>
      <c r="P372" t="s">
        <v>74</v>
      </c>
      <c r="Q372" t="s">
        <v>74</v>
      </c>
      <c r="R372" t="s">
        <v>74</v>
      </c>
      <c r="S372" t="s">
        <v>74</v>
      </c>
      <c r="T372" t="s">
        <v>5275</v>
      </c>
      <c r="U372" t="s">
        <v>5276</v>
      </c>
      <c r="V372" t="s">
        <v>5277</v>
      </c>
      <c r="W372" t="s">
        <v>5278</v>
      </c>
      <c r="X372" t="s">
        <v>5279</v>
      </c>
      <c r="Y372" t="s">
        <v>5280</v>
      </c>
      <c r="Z372" t="s">
        <v>5281</v>
      </c>
      <c r="AA372" t="s">
        <v>74</v>
      </c>
      <c r="AB372" t="s">
        <v>74</v>
      </c>
      <c r="AC372" t="s">
        <v>74</v>
      </c>
      <c r="AD372" t="s">
        <v>74</v>
      </c>
      <c r="AE372" t="s">
        <v>74</v>
      </c>
      <c r="AF372" t="s">
        <v>74</v>
      </c>
      <c r="AG372">
        <v>80</v>
      </c>
      <c r="AH372">
        <v>341</v>
      </c>
      <c r="AI372">
        <v>390</v>
      </c>
      <c r="AJ372">
        <v>4</v>
      </c>
      <c r="AK372">
        <v>159</v>
      </c>
      <c r="AL372" t="s">
        <v>1247</v>
      </c>
      <c r="AM372" t="s">
        <v>1248</v>
      </c>
      <c r="AN372" t="s">
        <v>1249</v>
      </c>
      <c r="AO372" t="s">
        <v>1549</v>
      </c>
      <c r="AP372" t="s">
        <v>1550</v>
      </c>
      <c r="AQ372" t="s">
        <v>74</v>
      </c>
      <c r="AR372" t="s">
        <v>1551</v>
      </c>
      <c r="AS372" t="s">
        <v>1552</v>
      </c>
      <c r="AT372" t="s">
        <v>4627</v>
      </c>
      <c r="AU372">
        <v>2001</v>
      </c>
      <c r="AV372">
        <v>151</v>
      </c>
      <c r="AW372">
        <v>2</v>
      </c>
      <c r="AX372" t="s">
        <v>74</v>
      </c>
      <c r="AY372" t="s">
        <v>74</v>
      </c>
      <c r="AZ372" t="s">
        <v>74</v>
      </c>
      <c r="BA372" t="s">
        <v>74</v>
      </c>
      <c r="BB372">
        <v>341</v>
      </c>
      <c r="BC372">
        <v>353</v>
      </c>
      <c r="BD372" t="s">
        <v>74</v>
      </c>
      <c r="BE372" t="s">
        <v>5282</v>
      </c>
      <c r="BF372" t="str">
        <f>HYPERLINK("http://dx.doi.org/10.1046/j.1469-8137.2001.00177.x","http://dx.doi.org/10.1046/j.1469-8137.2001.00177.x")</f>
        <v>http://dx.doi.org/10.1046/j.1469-8137.2001.00177.x</v>
      </c>
      <c r="BG372" t="s">
        <v>74</v>
      </c>
      <c r="BH372" t="s">
        <v>74</v>
      </c>
      <c r="BI372">
        <v>13</v>
      </c>
      <c r="BJ372" t="s">
        <v>357</v>
      </c>
      <c r="BK372" t="s">
        <v>88</v>
      </c>
      <c r="BL372" t="s">
        <v>357</v>
      </c>
      <c r="BM372" t="s">
        <v>5283</v>
      </c>
      <c r="BN372" t="s">
        <v>74</v>
      </c>
      <c r="BO372" t="s">
        <v>74</v>
      </c>
      <c r="BP372" t="s">
        <v>74</v>
      </c>
      <c r="BQ372" t="s">
        <v>74</v>
      </c>
      <c r="BR372" t="s">
        <v>91</v>
      </c>
      <c r="BS372" t="s">
        <v>5284</v>
      </c>
      <c r="BT372" t="str">
        <f>HYPERLINK("https%3A%2F%2Fwww.webofscience.com%2Fwos%2Fwoscc%2Ffull-record%2FWOS:000170322300005","View Full Record in Web of Science")</f>
        <v>View Full Record in Web of Science</v>
      </c>
    </row>
    <row r="373" spans="1:72" x14ac:dyDescent="0.15">
      <c r="A373" t="s">
        <v>72</v>
      </c>
      <c r="B373" t="s">
        <v>5285</v>
      </c>
      <c r="C373" t="s">
        <v>74</v>
      </c>
      <c r="D373" t="s">
        <v>74</v>
      </c>
      <c r="E373" t="s">
        <v>74</v>
      </c>
      <c r="F373" t="s">
        <v>5285</v>
      </c>
      <c r="G373" t="s">
        <v>74</v>
      </c>
      <c r="H373" t="s">
        <v>74</v>
      </c>
      <c r="I373" t="s">
        <v>5286</v>
      </c>
      <c r="J373" t="s">
        <v>4554</v>
      </c>
      <c r="K373" t="s">
        <v>74</v>
      </c>
      <c r="L373" t="s">
        <v>74</v>
      </c>
      <c r="M373" t="s">
        <v>77</v>
      </c>
      <c r="N373" t="s">
        <v>120</v>
      </c>
      <c r="O373" t="s">
        <v>74</v>
      </c>
      <c r="P373" t="s">
        <v>74</v>
      </c>
      <c r="Q373" t="s">
        <v>74</v>
      </c>
      <c r="R373" t="s">
        <v>74</v>
      </c>
      <c r="S373" t="s">
        <v>74</v>
      </c>
      <c r="T373" t="s">
        <v>5287</v>
      </c>
      <c r="U373" t="s">
        <v>5288</v>
      </c>
      <c r="V373" t="s">
        <v>5289</v>
      </c>
      <c r="W373" t="s">
        <v>5290</v>
      </c>
      <c r="X373" t="s">
        <v>5291</v>
      </c>
      <c r="Y373" t="s">
        <v>5292</v>
      </c>
      <c r="Z373" t="s">
        <v>74</v>
      </c>
      <c r="AA373" t="s">
        <v>5293</v>
      </c>
      <c r="AB373" t="s">
        <v>5294</v>
      </c>
      <c r="AC373" t="s">
        <v>74</v>
      </c>
      <c r="AD373" t="s">
        <v>74</v>
      </c>
      <c r="AE373" t="s">
        <v>74</v>
      </c>
      <c r="AF373" t="s">
        <v>74</v>
      </c>
      <c r="AG373">
        <v>50</v>
      </c>
      <c r="AH373">
        <v>66</v>
      </c>
      <c r="AI373">
        <v>69</v>
      </c>
      <c r="AJ373">
        <v>2</v>
      </c>
      <c r="AK373">
        <v>17</v>
      </c>
      <c r="AL373" t="s">
        <v>488</v>
      </c>
      <c r="AM373" t="s">
        <v>350</v>
      </c>
      <c r="AN373" t="s">
        <v>489</v>
      </c>
      <c r="AO373" t="s">
        <v>4563</v>
      </c>
      <c r="AP373" t="s">
        <v>74</v>
      </c>
      <c r="AQ373" t="s">
        <v>74</v>
      </c>
      <c r="AR373" t="s">
        <v>4564</v>
      </c>
      <c r="AS373" t="s">
        <v>4565</v>
      </c>
      <c r="AT373" t="s">
        <v>5052</v>
      </c>
      <c r="AU373">
        <v>2001</v>
      </c>
      <c r="AV373">
        <v>172</v>
      </c>
      <c r="AW373" t="s">
        <v>495</v>
      </c>
      <c r="AX373" t="s">
        <v>74</v>
      </c>
      <c r="AY373" t="s">
        <v>74</v>
      </c>
      <c r="AZ373" t="s">
        <v>74</v>
      </c>
      <c r="BA373" t="s">
        <v>74</v>
      </c>
      <c r="BB373">
        <v>53</v>
      </c>
      <c r="BC373">
        <v>80</v>
      </c>
      <c r="BD373" t="s">
        <v>74</v>
      </c>
      <c r="BE373" t="s">
        <v>5295</v>
      </c>
      <c r="BF373" t="str">
        <f>HYPERLINK("http://dx.doi.org/10.1016/S0031-0182(01)00271-1","http://dx.doi.org/10.1016/S0031-0182(01)00271-1")</f>
        <v>http://dx.doi.org/10.1016/S0031-0182(01)00271-1</v>
      </c>
      <c r="BG373" t="s">
        <v>74</v>
      </c>
      <c r="BH373" t="s">
        <v>74</v>
      </c>
      <c r="BI373">
        <v>28</v>
      </c>
      <c r="BJ373" t="s">
        <v>4567</v>
      </c>
      <c r="BK373" t="s">
        <v>88</v>
      </c>
      <c r="BL373" t="s">
        <v>4568</v>
      </c>
      <c r="BM373" t="s">
        <v>5296</v>
      </c>
      <c r="BN373" t="s">
        <v>74</v>
      </c>
      <c r="BO373" t="s">
        <v>74</v>
      </c>
      <c r="BP373" t="s">
        <v>74</v>
      </c>
      <c r="BQ373" t="s">
        <v>74</v>
      </c>
      <c r="BR373" t="s">
        <v>91</v>
      </c>
      <c r="BS373" t="s">
        <v>5297</v>
      </c>
      <c r="BT373" t="str">
        <f>HYPERLINK("https%3A%2F%2Fwww.webofscience.com%2Fwos%2Fwoscc%2Ffull-record%2FWOS:000170627700003","View Full Record in Web of Science")</f>
        <v>View Full Record in Web of Science</v>
      </c>
    </row>
    <row r="374" spans="1:72" x14ac:dyDescent="0.15">
      <c r="A374" t="s">
        <v>72</v>
      </c>
      <c r="B374" t="s">
        <v>5298</v>
      </c>
      <c r="C374" t="s">
        <v>74</v>
      </c>
      <c r="D374" t="s">
        <v>74</v>
      </c>
      <c r="E374" t="s">
        <v>74</v>
      </c>
      <c r="F374" t="s">
        <v>5298</v>
      </c>
      <c r="G374" t="s">
        <v>74</v>
      </c>
      <c r="H374" t="s">
        <v>74</v>
      </c>
      <c r="I374" t="s">
        <v>5299</v>
      </c>
      <c r="J374" t="s">
        <v>141</v>
      </c>
      <c r="K374" t="s">
        <v>74</v>
      </c>
      <c r="L374" t="s">
        <v>74</v>
      </c>
      <c r="M374" t="s">
        <v>77</v>
      </c>
      <c r="N374" t="s">
        <v>120</v>
      </c>
      <c r="O374" t="s">
        <v>74</v>
      </c>
      <c r="P374" t="s">
        <v>74</v>
      </c>
      <c r="Q374" t="s">
        <v>74</v>
      </c>
      <c r="R374" t="s">
        <v>74</v>
      </c>
      <c r="S374" t="s">
        <v>74</v>
      </c>
      <c r="T374" t="s">
        <v>74</v>
      </c>
      <c r="U374" t="s">
        <v>5300</v>
      </c>
      <c r="V374" t="s">
        <v>5301</v>
      </c>
      <c r="W374" t="s">
        <v>5302</v>
      </c>
      <c r="X374" t="s">
        <v>5303</v>
      </c>
      <c r="Y374" t="s">
        <v>5304</v>
      </c>
      <c r="Z374" t="s">
        <v>74</v>
      </c>
      <c r="AA374" t="s">
        <v>5305</v>
      </c>
      <c r="AB374" t="s">
        <v>5306</v>
      </c>
      <c r="AC374" t="s">
        <v>74</v>
      </c>
      <c r="AD374" t="s">
        <v>74</v>
      </c>
      <c r="AE374" t="s">
        <v>74</v>
      </c>
      <c r="AF374" t="s">
        <v>74</v>
      </c>
      <c r="AG374">
        <v>87</v>
      </c>
      <c r="AH374">
        <v>77</v>
      </c>
      <c r="AI374">
        <v>84</v>
      </c>
      <c r="AJ374">
        <v>0</v>
      </c>
      <c r="AK374">
        <v>11</v>
      </c>
      <c r="AL374" t="s">
        <v>149</v>
      </c>
      <c r="AM374" t="s">
        <v>150</v>
      </c>
      <c r="AN374" t="s">
        <v>151</v>
      </c>
      <c r="AO374" t="s">
        <v>152</v>
      </c>
      <c r="AP374" t="s">
        <v>74</v>
      </c>
      <c r="AQ374" t="s">
        <v>74</v>
      </c>
      <c r="AR374" t="s">
        <v>141</v>
      </c>
      <c r="AS374" t="s">
        <v>154</v>
      </c>
      <c r="AT374" t="s">
        <v>4627</v>
      </c>
      <c r="AU374">
        <v>2001</v>
      </c>
      <c r="AV374">
        <v>16</v>
      </c>
      <c r="AW374">
        <v>4</v>
      </c>
      <c r="AX374" t="s">
        <v>74</v>
      </c>
      <c r="AY374" t="s">
        <v>74</v>
      </c>
      <c r="AZ374" t="s">
        <v>74</v>
      </c>
      <c r="BA374" t="s">
        <v>74</v>
      </c>
      <c r="BB374">
        <v>405</v>
      </c>
      <c r="BC374">
        <v>423</v>
      </c>
      <c r="BD374" t="s">
        <v>74</v>
      </c>
      <c r="BE374" t="s">
        <v>5307</v>
      </c>
      <c r="BF374" t="str">
        <f>HYPERLINK("http://dx.doi.org/10.1029/2000PA000509","http://dx.doi.org/10.1029/2000PA000509")</f>
        <v>http://dx.doi.org/10.1029/2000PA000509</v>
      </c>
      <c r="BG374" t="s">
        <v>74</v>
      </c>
      <c r="BH374" t="s">
        <v>74</v>
      </c>
      <c r="BI374">
        <v>19</v>
      </c>
      <c r="BJ374" t="s">
        <v>156</v>
      </c>
      <c r="BK374" t="s">
        <v>88</v>
      </c>
      <c r="BL374" t="s">
        <v>157</v>
      </c>
      <c r="BM374" t="s">
        <v>5308</v>
      </c>
      <c r="BN374" t="s">
        <v>74</v>
      </c>
      <c r="BO374" t="s">
        <v>171</v>
      </c>
      <c r="BP374" t="s">
        <v>74</v>
      </c>
      <c r="BQ374" t="s">
        <v>74</v>
      </c>
      <c r="BR374" t="s">
        <v>91</v>
      </c>
      <c r="BS374" t="s">
        <v>5309</v>
      </c>
      <c r="BT374" t="str">
        <f>HYPERLINK("https%3A%2F%2Fwww.webofscience.com%2Fwos%2Fwoscc%2Ffull-record%2FWOS:000169950700006","View Full Record in Web of Science")</f>
        <v>View Full Record in Web of Science</v>
      </c>
    </row>
    <row r="375" spans="1:72" x14ac:dyDescent="0.15">
      <c r="A375" t="s">
        <v>72</v>
      </c>
      <c r="B375" t="s">
        <v>5310</v>
      </c>
      <c r="C375" t="s">
        <v>74</v>
      </c>
      <c r="D375" t="s">
        <v>74</v>
      </c>
      <c r="E375" t="s">
        <v>74</v>
      </c>
      <c r="F375" t="s">
        <v>5310</v>
      </c>
      <c r="G375" t="s">
        <v>74</v>
      </c>
      <c r="H375" t="s">
        <v>74</v>
      </c>
      <c r="I375" t="s">
        <v>5311</v>
      </c>
      <c r="J375" t="s">
        <v>5312</v>
      </c>
      <c r="K375" t="s">
        <v>74</v>
      </c>
      <c r="L375" t="s">
        <v>74</v>
      </c>
      <c r="M375" t="s">
        <v>77</v>
      </c>
      <c r="N375" t="s">
        <v>120</v>
      </c>
      <c r="O375" t="s">
        <v>74</v>
      </c>
      <c r="P375" t="s">
        <v>74</v>
      </c>
      <c r="Q375" t="s">
        <v>74</v>
      </c>
      <c r="R375" t="s">
        <v>74</v>
      </c>
      <c r="S375" t="s">
        <v>74</v>
      </c>
      <c r="T375" t="s">
        <v>74</v>
      </c>
      <c r="U375" t="s">
        <v>5313</v>
      </c>
      <c r="V375" t="s">
        <v>5314</v>
      </c>
      <c r="W375" t="s">
        <v>5315</v>
      </c>
      <c r="X375" t="s">
        <v>5316</v>
      </c>
      <c r="Y375" t="s">
        <v>74</v>
      </c>
      <c r="Z375" t="s">
        <v>5317</v>
      </c>
      <c r="AA375" t="s">
        <v>74</v>
      </c>
      <c r="AB375" t="s">
        <v>74</v>
      </c>
      <c r="AC375" t="s">
        <v>74</v>
      </c>
      <c r="AD375" t="s">
        <v>74</v>
      </c>
      <c r="AE375" t="s">
        <v>74</v>
      </c>
      <c r="AF375" t="s">
        <v>74</v>
      </c>
      <c r="AG375">
        <v>54</v>
      </c>
      <c r="AH375">
        <v>13</v>
      </c>
      <c r="AI375">
        <v>16</v>
      </c>
      <c r="AJ375">
        <v>0</v>
      </c>
      <c r="AK375">
        <v>4</v>
      </c>
      <c r="AL375" t="s">
        <v>1247</v>
      </c>
      <c r="AM375" t="s">
        <v>1248</v>
      </c>
      <c r="AN375" t="s">
        <v>1249</v>
      </c>
      <c r="AO375" t="s">
        <v>5318</v>
      </c>
      <c r="AP375" t="s">
        <v>5319</v>
      </c>
      <c r="AQ375" t="s">
        <v>74</v>
      </c>
      <c r="AR375" t="s">
        <v>5320</v>
      </c>
      <c r="AS375" t="s">
        <v>5321</v>
      </c>
      <c r="AT375" t="s">
        <v>4627</v>
      </c>
      <c r="AU375">
        <v>2001</v>
      </c>
      <c r="AV375">
        <v>112</v>
      </c>
      <c r="AW375">
        <v>4</v>
      </c>
      <c r="AX375" t="s">
        <v>74</v>
      </c>
      <c r="AY375" t="s">
        <v>74</v>
      </c>
      <c r="AZ375" t="s">
        <v>74</v>
      </c>
      <c r="BA375" t="s">
        <v>74</v>
      </c>
      <c r="BB375">
        <v>572</v>
      </c>
      <c r="BC375">
        <v>581</v>
      </c>
      <c r="BD375" t="s">
        <v>74</v>
      </c>
      <c r="BE375" t="s">
        <v>5322</v>
      </c>
      <c r="BF375" t="str">
        <f>HYPERLINK("http://dx.doi.org/10.1034/j.1399-3054.2001.1120416.x","http://dx.doi.org/10.1034/j.1399-3054.2001.1120416.x")</f>
        <v>http://dx.doi.org/10.1034/j.1399-3054.2001.1120416.x</v>
      </c>
      <c r="BG375" t="s">
        <v>74</v>
      </c>
      <c r="BH375" t="s">
        <v>74</v>
      </c>
      <c r="BI375">
        <v>10</v>
      </c>
      <c r="BJ375" t="s">
        <v>357</v>
      </c>
      <c r="BK375" t="s">
        <v>88</v>
      </c>
      <c r="BL375" t="s">
        <v>357</v>
      </c>
      <c r="BM375" t="s">
        <v>5323</v>
      </c>
      <c r="BN375">
        <v>11473719</v>
      </c>
      <c r="BO375" t="s">
        <v>74</v>
      </c>
      <c r="BP375" t="s">
        <v>74</v>
      </c>
      <c r="BQ375" t="s">
        <v>74</v>
      </c>
      <c r="BR375" t="s">
        <v>91</v>
      </c>
      <c r="BS375" t="s">
        <v>5324</v>
      </c>
      <c r="BT375" t="str">
        <f>HYPERLINK("https%3A%2F%2Fwww.webofscience.com%2Fwos%2Fwoscc%2Ffull-record%2FWOS:000170120100016","View Full Record in Web of Science")</f>
        <v>View Full Record in Web of Science</v>
      </c>
    </row>
    <row r="376" spans="1:72" x14ac:dyDescent="0.15">
      <c r="A376" t="s">
        <v>72</v>
      </c>
      <c r="B376" t="s">
        <v>5325</v>
      </c>
      <c r="C376" t="s">
        <v>74</v>
      </c>
      <c r="D376" t="s">
        <v>74</v>
      </c>
      <c r="E376" t="s">
        <v>74</v>
      </c>
      <c r="F376" t="s">
        <v>5325</v>
      </c>
      <c r="G376" t="s">
        <v>74</v>
      </c>
      <c r="H376" t="s">
        <v>74</v>
      </c>
      <c r="I376" t="s">
        <v>5326</v>
      </c>
      <c r="J376" t="s">
        <v>194</v>
      </c>
      <c r="K376" t="s">
        <v>74</v>
      </c>
      <c r="L376" t="s">
        <v>74</v>
      </c>
      <c r="M376" t="s">
        <v>77</v>
      </c>
      <c r="N376" t="s">
        <v>96</v>
      </c>
      <c r="O376" t="s">
        <v>74</v>
      </c>
      <c r="P376" t="s">
        <v>74</v>
      </c>
      <c r="Q376" t="s">
        <v>74</v>
      </c>
      <c r="R376" t="s">
        <v>74</v>
      </c>
      <c r="S376" t="s">
        <v>74</v>
      </c>
      <c r="T376" t="s">
        <v>74</v>
      </c>
      <c r="U376" t="s">
        <v>5327</v>
      </c>
      <c r="V376" t="s">
        <v>5328</v>
      </c>
      <c r="W376" t="s">
        <v>1678</v>
      </c>
      <c r="X376" t="s">
        <v>1679</v>
      </c>
      <c r="Y376" t="s">
        <v>5329</v>
      </c>
      <c r="Z376" t="s">
        <v>74</v>
      </c>
      <c r="AA376" t="s">
        <v>5330</v>
      </c>
      <c r="AB376" t="s">
        <v>5331</v>
      </c>
      <c r="AC376" t="s">
        <v>74</v>
      </c>
      <c r="AD376" t="s">
        <v>74</v>
      </c>
      <c r="AE376" t="s">
        <v>74</v>
      </c>
      <c r="AF376" t="s">
        <v>74</v>
      </c>
      <c r="AG376">
        <v>132</v>
      </c>
      <c r="AH376">
        <v>241</v>
      </c>
      <c r="AI376">
        <v>255</v>
      </c>
      <c r="AJ376">
        <v>1</v>
      </c>
      <c r="AK376">
        <v>78</v>
      </c>
      <c r="AL376" t="s">
        <v>203</v>
      </c>
      <c r="AM376" t="s">
        <v>204</v>
      </c>
      <c r="AN376" t="s">
        <v>205</v>
      </c>
      <c r="AO376" t="s">
        <v>206</v>
      </c>
      <c r="AP376" t="s">
        <v>74</v>
      </c>
      <c r="AQ376" t="s">
        <v>74</v>
      </c>
      <c r="AR376" t="s">
        <v>207</v>
      </c>
      <c r="AS376" t="s">
        <v>208</v>
      </c>
      <c r="AT376" t="s">
        <v>4627</v>
      </c>
      <c r="AU376">
        <v>2001</v>
      </c>
      <c r="AV376">
        <v>24</v>
      </c>
      <c r="AW376">
        <v>8</v>
      </c>
      <c r="AX376" t="s">
        <v>74</v>
      </c>
      <c r="AY376" t="s">
        <v>74</v>
      </c>
      <c r="AZ376" t="s">
        <v>74</v>
      </c>
      <c r="BA376" t="s">
        <v>74</v>
      </c>
      <c r="BB376">
        <v>553</v>
      </c>
      <c r="BC376">
        <v>564</v>
      </c>
      <c r="BD376" t="s">
        <v>74</v>
      </c>
      <c r="BE376" t="s">
        <v>5332</v>
      </c>
      <c r="BF376" t="str">
        <f>HYPERLINK("http://dx.doi.org/10.1007/s003000100262","http://dx.doi.org/10.1007/s003000100262")</f>
        <v>http://dx.doi.org/10.1007/s003000100262</v>
      </c>
      <c r="BG376" t="s">
        <v>74</v>
      </c>
      <c r="BH376" t="s">
        <v>74</v>
      </c>
      <c r="BI376">
        <v>12</v>
      </c>
      <c r="BJ376" t="s">
        <v>209</v>
      </c>
      <c r="BK376" t="s">
        <v>88</v>
      </c>
      <c r="BL376" t="s">
        <v>210</v>
      </c>
      <c r="BM376" t="s">
        <v>5333</v>
      </c>
      <c r="BN376" t="s">
        <v>74</v>
      </c>
      <c r="BO376" t="s">
        <v>74</v>
      </c>
      <c r="BP376" t="s">
        <v>74</v>
      </c>
      <c r="BQ376" t="s">
        <v>74</v>
      </c>
      <c r="BR376" t="s">
        <v>91</v>
      </c>
      <c r="BS376" t="s">
        <v>5334</v>
      </c>
      <c r="BT376" t="str">
        <f>HYPERLINK("https%3A%2F%2Fwww.webofscience.com%2Fwos%2Fwoscc%2Ffull-record%2FWOS:000170351700001","View Full Record in Web of Science")</f>
        <v>View Full Record in Web of Science</v>
      </c>
    </row>
    <row r="377" spans="1:72" x14ac:dyDescent="0.15">
      <c r="A377" t="s">
        <v>72</v>
      </c>
      <c r="B377" t="s">
        <v>5335</v>
      </c>
      <c r="C377" t="s">
        <v>74</v>
      </c>
      <c r="D377" t="s">
        <v>74</v>
      </c>
      <c r="E377" t="s">
        <v>74</v>
      </c>
      <c r="F377" t="s">
        <v>5335</v>
      </c>
      <c r="G377" t="s">
        <v>74</v>
      </c>
      <c r="H377" t="s">
        <v>74</v>
      </c>
      <c r="I377" t="s">
        <v>5336</v>
      </c>
      <c r="J377" t="s">
        <v>194</v>
      </c>
      <c r="K377" t="s">
        <v>74</v>
      </c>
      <c r="L377" t="s">
        <v>74</v>
      </c>
      <c r="M377" t="s">
        <v>77</v>
      </c>
      <c r="N377" t="s">
        <v>120</v>
      </c>
      <c r="O377" t="s">
        <v>74</v>
      </c>
      <c r="P377" t="s">
        <v>74</v>
      </c>
      <c r="Q377" t="s">
        <v>74</v>
      </c>
      <c r="R377" t="s">
        <v>74</v>
      </c>
      <c r="S377" t="s">
        <v>74</v>
      </c>
      <c r="T377" t="s">
        <v>74</v>
      </c>
      <c r="U377" t="s">
        <v>74</v>
      </c>
      <c r="V377" t="s">
        <v>5337</v>
      </c>
      <c r="W377" t="s">
        <v>5338</v>
      </c>
      <c r="X377" t="s">
        <v>74</v>
      </c>
      <c r="Y377" t="s">
        <v>5339</v>
      </c>
      <c r="Z377" t="s">
        <v>5340</v>
      </c>
      <c r="AA377" t="s">
        <v>74</v>
      </c>
      <c r="AB377" t="s">
        <v>74</v>
      </c>
      <c r="AC377" t="s">
        <v>74</v>
      </c>
      <c r="AD377" t="s">
        <v>74</v>
      </c>
      <c r="AE377" t="s">
        <v>74</v>
      </c>
      <c r="AF377" t="s">
        <v>74</v>
      </c>
      <c r="AG377">
        <v>27</v>
      </c>
      <c r="AH377">
        <v>8</v>
      </c>
      <c r="AI377">
        <v>12</v>
      </c>
      <c r="AJ377">
        <v>0</v>
      </c>
      <c r="AK377">
        <v>4</v>
      </c>
      <c r="AL377" t="s">
        <v>248</v>
      </c>
      <c r="AM377" t="s">
        <v>204</v>
      </c>
      <c r="AN377" t="s">
        <v>249</v>
      </c>
      <c r="AO377" t="s">
        <v>206</v>
      </c>
      <c r="AP377" t="s">
        <v>250</v>
      </c>
      <c r="AQ377" t="s">
        <v>74</v>
      </c>
      <c r="AR377" t="s">
        <v>207</v>
      </c>
      <c r="AS377" t="s">
        <v>208</v>
      </c>
      <c r="AT377" t="s">
        <v>4627</v>
      </c>
      <c r="AU377">
        <v>2001</v>
      </c>
      <c r="AV377">
        <v>24</v>
      </c>
      <c r="AW377">
        <v>8</v>
      </c>
      <c r="AX377" t="s">
        <v>74</v>
      </c>
      <c r="AY377" t="s">
        <v>74</v>
      </c>
      <c r="AZ377" t="s">
        <v>74</v>
      </c>
      <c r="BA377" t="s">
        <v>74</v>
      </c>
      <c r="BB377">
        <v>565</v>
      </c>
      <c r="BC377">
        <v>571</v>
      </c>
      <c r="BD377" t="s">
        <v>74</v>
      </c>
      <c r="BE377" t="s">
        <v>74</v>
      </c>
      <c r="BF377" t="s">
        <v>74</v>
      </c>
      <c r="BG377" t="s">
        <v>74</v>
      </c>
      <c r="BH377" t="s">
        <v>74</v>
      </c>
      <c r="BI377">
        <v>7</v>
      </c>
      <c r="BJ377" t="s">
        <v>209</v>
      </c>
      <c r="BK377" t="s">
        <v>88</v>
      </c>
      <c r="BL377" t="s">
        <v>210</v>
      </c>
      <c r="BM377" t="s">
        <v>5333</v>
      </c>
      <c r="BN377" t="s">
        <v>74</v>
      </c>
      <c r="BO377" t="s">
        <v>74</v>
      </c>
      <c r="BP377" t="s">
        <v>74</v>
      </c>
      <c r="BQ377" t="s">
        <v>74</v>
      </c>
      <c r="BR377" t="s">
        <v>91</v>
      </c>
      <c r="BS377" t="s">
        <v>5341</v>
      </c>
      <c r="BT377" t="str">
        <f>HYPERLINK("https%3A%2F%2Fwww.webofscience.com%2Fwos%2Fwoscc%2Ffull-record%2FWOS:000170351700002","View Full Record in Web of Science")</f>
        <v>View Full Record in Web of Science</v>
      </c>
    </row>
    <row r="378" spans="1:72" x14ac:dyDescent="0.15">
      <c r="A378" t="s">
        <v>72</v>
      </c>
      <c r="B378" t="s">
        <v>5342</v>
      </c>
      <c r="C378" t="s">
        <v>74</v>
      </c>
      <c r="D378" t="s">
        <v>74</v>
      </c>
      <c r="E378" t="s">
        <v>74</v>
      </c>
      <c r="F378" t="s">
        <v>5342</v>
      </c>
      <c r="G378" t="s">
        <v>74</v>
      </c>
      <c r="H378" t="s">
        <v>74</v>
      </c>
      <c r="I378" t="s">
        <v>5343</v>
      </c>
      <c r="J378" t="s">
        <v>194</v>
      </c>
      <c r="K378" t="s">
        <v>74</v>
      </c>
      <c r="L378" t="s">
        <v>74</v>
      </c>
      <c r="M378" t="s">
        <v>77</v>
      </c>
      <c r="N378" t="s">
        <v>120</v>
      </c>
      <c r="O378" t="s">
        <v>74</v>
      </c>
      <c r="P378" t="s">
        <v>74</v>
      </c>
      <c r="Q378" t="s">
        <v>74</v>
      </c>
      <c r="R378" t="s">
        <v>74</v>
      </c>
      <c r="S378" t="s">
        <v>74</v>
      </c>
      <c r="T378" t="s">
        <v>74</v>
      </c>
      <c r="U378" t="s">
        <v>5344</v>
      </c>
      <c r="V378" t="s">
        <v>5345</v>
      </c>
      <c r="W378" t="s">
        <v>2842</v>
      </c>
      <c r="X378" t="s">
        <v>2843</v>
      </c>
      <c r="Y378" t="s">
        <v>5346</v>
      </c>
      <c r="Z378" t="s">
        <v>2845</v>
      </c>
      <c r="AA378" t="s">
        <v>2846</v>
      </c>
      <c r="AB378" t="s">
        <v>5347</v>
      </c>
      <c r="AC378" t="s">
        <v>74</v>
      </c>
      <c r="AD378" t="s">
        <v>74</v>
      </c>
      <c r="AE378" t="s">
        <v>74</v>
      </c>
      <c r="AF378" t="s">
        <v>74</v>
      </c>
      <c r="AG378">
        <v>26</v>
      </c>
      <c r="AH378">
        <v>29</v>
      </c>
      <c r="AI378">
        <v>31</v>
      </c>
      <c r="AJ378">
        <v>1</v>
      </c>
      <c r="AK378">
        <v>6</v>
      </c>
      <c r="AL378" t="s">
        <v>248</v>
      </c>
      <c r="AM378" t="s">
        <v>204</v>
      </c>
      <c r="AN378" t="s">
        <v>1622</v>
      </c>
      <c r="AO378" t="s">
        <v>206</v>
      </c>
      <c r="AP378" t="s">
        <v>74</v>
      </c>
      <c r="AQ378" t="s">
        <v>74</v>
      </c>
      <c r="AR378" t="s">
        <v>207</v>
      </c>
      <c r="AS378" t="s">
        <v>208</v>
      </c>
      <c r="AT378" t="s">
        <v>4627</v>
      </c>
      <c r="AU378">
        <v>2001</v>
      </c>
      <c r="AV378">
        <v>24</v>
      </c>
      <c r="AW378">
        <v>8</v>
      </c>
      <c r="AX378" t="s">
        <v>74</v>
      </c>
      <c r="AY378" t="s">
        <v>74</v>
      </c>
      <c r="AZ378" t="s">
        <v>74</v>
      </c>
      <c r="BA378" t="s">
        <v>74</v>
      </c>
      <c r="BB378">
        <v>577</v>
      </c>
      <c r="BC378">
        <v>581</v>
      </c>
      <c r="BD378" t="s">
        <v>74</v>
      </c>
      <c r="BE378" t="s">
        <v>5348</v>
      </c>
      <c r="BF378" t="str">
        <f>HYPERLINK("http://dx.doi.org/10.1007/s003000100254","http://dx.doi.org/10.1007/s003000100254")</f>
        <v>http://dx.doi.org/10.1007/s003000100254</v>
      </c>
      <c r="BG378" t="s">
        <v>74</v>
      </c>
      <c r="BH378" t="s">
        <v>74</v>
      </c>
      <c r="BI378">
        <v>5</v>
      </c>
      <c r="BJ378" t="s">
        <v>209</v>
      </c>
      <c r="BK378" t="s">
        <v>88</v>
      </c>
      <c r="BL378" t="s">
        <v>210</v>
      </c>
      <c r="BM378" t="s">
        <v>5333</v>
      </c>
      <c r="BN378" t="s">
        <v>74</v>
      </c>
      <c r="BO378" t="s">
        <v>74</v>
      </c>
      <c r="BP378" t="s">
        <v>74</v>
      </c>
      <c r="BQ378" t="s">
        <v>74</v>
      </c>
      <c r="BR378" t="s">
        <v>91</v>
      </c>
      <c r="BS378" t="s">
        <v>5349</v>
      </c>
      <c r="BT378" t="str">
        <f>HYPERLINK("https%3A%2F%2Fwww.webofscience.com%2Fwos%2Fwoscc%2Ffull-record%2FWOS:000170351700004","View Full Record in Web of Science")</f>
        <v>View Full Record in Web of Science</v>
      </c>
    </row>
    <row r="379" spans="1:72" x14ac:dyDescent="0.15">
      <c r="A379" t="s">
        <v>72</v>
      </c>
      <c r="B379" t="s">
        <v>5350</v>
      </c>
      <c r="C379" t="s">
        <v>74</v>
      </c>
      <c r="D379" t="s">
        <v>74</v>
      </c>
      <c r="E379" t="s">
        <v>74</v>
      </c>
      <c r="F379" t="s">
        <v>5350</v>
      </c>
      <c r="G379" t="s">
        <v>74</v>
      </c>
      <c r="H379" t="s">
        <v>74</v>
      </c>
      <c r="I379" t="s">
        <v>5351</v>
      </c>
      <c r="J379" t="s">
        <v>194</v>
      </c>
      <c r="K379" t="s">
        <v>74</v>
      </c>
      <c r="L379" t="s">
        <v>74</v>
      </c>
      <c r="M379" t="s">
        <v>77</v>
      </c>
      <c r="N379" t="s">
        <v>120</v>
      </c>
      <c r="O379" t="s">
        <v>74</v>
      </c>
      <c r="P379" t="s">
        <v>74</v>
      </c>
      <c r="Q379" t="s">
        <v>74</v>
      </c>
      <c r="R379" t="s">
        <v>74</v>
      </c>
      <c r="S379" t="s">
        <v>74</v>
      </c>
      <c r="T379" t="s">
        <v>74</v>
      </c>
      <c r="U379" t="s">
        <v>5352</v>
      </c>
      <c r="V379" t="s">
        <v>5353</v>
      </c>
      <c r="W379" t="s">
        <v>5354</v>
      </c>
      <c r="X379" t="s">
        <v>5316</v>
      </c>
      <c r="Y379" t="s">
        <v>5355</v>
      </c>
      <c r="Z379" t="s">
        <v>74</v>
      </c>
      <c r="AA379" t="s">
        <v>74</v>
      </c>
      <c r="AB379" t="s">
        <v>74</v>
      </c>
      <c r="AC379" t="s">
        <v>74</v>
      </c>
      <c r="AD379" t="s">
        <v>74</v>
      </c>
      <c r="AE379" t="s">
        <v>74</v>
      </c>
      <c r="AF379" t="s">
        <v>74</v>
      </c>
      <c r="AG379">
        <v>33</v>
      </c>
      <c r="AH379">
        <v>53</v>
      </c>
      <c r="AI379">
        <v>57</v>
      </c>
      <c r="AJ379">
        <v>1</v>
      </c>
      <c r="AK379">
        <v>21</v>
      </c>
      <c r="AL379" t="s">
        <v>203</v>
      </c>
      <c r="AM379" t="s">
        <v>204</v>
      </c>
      <c r="AN379" t="s">
        <v>205</v>
      </c>
      <c r="AO379" t="s">
        <v>206</v>
      </c>
      <c r="AP379" t="s">
        <v>74</v>
      </c>
      <c r="AQ379" t="s">
        <v>74</v>
      </c>
      <c r="AR379" t="s">
        <v>207</v>
      </c>
      <c r="AS379" t="s">
        <v>208</v>
      </c>
      <c r="AT379" t="s">
        <v>4627</v>
      </c>
      <c r="AU379">
        <v>2001</v>
      </c>
      <c r="AV379">
        <v>24</v>
      </c>
      <c r="AW379">
        <v>8</v>
      </c>
      <c r="AX379" t="s">
        <v>74</v>
      </c>
      <c r="AY379" t="s">
        <v>74</v>
      </c>
      <c r="AZ379" t="s">
        <v>74</v>
      </c>
      <c r="BA379" t="s">
        <v>74</v>
      </c>
      <c r="BB379">
        <v>598</v>
      </c>
      <c r="BC379">
        <v>603</v>
      </c>
      <c r="BD379" t="s">
        <v>74</v>
      </c>
      <c r="BE379" t="s">
        <v>5356</v>
      </c>
      <c r="BF379" t="str">
        <f>HYPERLINK("http://dx.doi.org/10.1007/s003000100260","http://dx.doi.org/10.1007/s003000100260")</f>
        <v>http://dx.doi.org/10.1007/s003000100260</v>
      </c>
      <c r="BG379" t="s">
        <v>74</v>
      </c>
      <c r="BH379" t="s">
        <v>74</v>
      </c>
      <c r="BI379">
        <v>6</v>
      </c>
      <c r="BJ379" t="s">
        <v>209</v>
      </c>
      <c r="BK379" t="s">
        <v>88</v>
      </c>
      <c r="BL379" t="s">
        <v>210</v>
      </c>
      <c r="BM379" t="s">
        <v>5333</v>
      </c>
      <c r="BN379" t="s">
        <v>74</v>
      </c>
      <c r="BO379" t="s">
        <v>74</v>
      </c>
      <c r="BP379" t="s">
        <v>74</v>
      </c>
      <c r="BQ379" t="s">
        <v>74</v>
      </c>
      <c r="BR379" t="s">
        <v>91</v>
      </c>
      <c r="BS379" t="s">
        <v>5357</v>
      </c>
      <c r="BT379" t="str">
        <f>HYPERLINK("https%3A%2F%2Fwww.webofscience.com%2Fwos%2Fwoscc%2Ffull-record%2FWOS:000170351700007","View Full Record in Web of Science")</f>
        <v>View Full Record in Web of Science</v>
      </c>
    </row>
    <row r="380" spans="1:72" x14ac:dyDescent="0.15">
      <c r="A380" t="s">
        <v>72</v>
      </c>
      <c r="B380" t="s">
        <v>5358</v>
      </c>
      <c r="C380" t="s">
        <v>74</v>
      </c>
      <c r="D380" t="s">
        <v>74</v>
      </c>
      <c r="E380" t="s">
        <v>74</v>
      </c>
      <c r="F380" t="s">
        <v>5358</v>
      </c>
      <c r="G380" t="s">
        <v>74</v>
      </c>
      <c r="H380" t="s">
        <v>74</v>
      </c>
      <c r="I380" t="s">
        <v>5359</v>
      </c>
      <c r="J380" t="s">
        <v>194</v>
      </c>
      <c r="K380" t="s">
        <v>74</v>
      </c>
      <c r="L380" t="s">
        <v>74</v>
      </c>
      <c r="M380" t="s">
        <v>77</v>
      </c>
      <c r="N380" t="s">
        <v>120</v>
      </c>
      <c r="O380" t="s">
        <v>74</v>
      </c>
      <c r="P380" t="s">
        <v>74</v>
      </c>
      <c r="Q380" t="s">
        <v>74</v>
      </c>
      <c r="R380" t="s">
        <v>74</v>
      </c>
      <c r="S380" t="s">
        <v>74</v>
      </c>
      <c r="T380" t="s">
        <v>74</v>
      </c>
      <c r="U380" t="s">
        <v>5360</v>
      </c>
      <c r="V380" t="s">
        <v>5361</v>
      </c>
      <c r="W380" t="s">
        <v>5362</v>
      </c>
      <c r="X380" t="s">
        <v>5363</v>
      </c>
      <c r="Y380" t="s">
        <v>5364</v>
      </c>
      <c r="Z380" t="s">
        <v>74</v>
      </c>
      <c r="AA380" t="s">
        <v>5365</v>
      </c>
      <c r="AB380" t="s">
        <v>5366</v>
      </c>
      <c r="AC380" t="s">
        <v>74</v>
      </c>
      <c r="AD380" t="s">
        <v>74</v>
      </c>
      <c r="AE380" t="s">
        <v>74</v>
      </c>
      <c r="AF380" t="s">
        <v>74</v>
      </c>
      <c r="AG380">
        <v>30</v>
      </c>
      <c r="AH380">
        <v>16</v>
      </c>
      <c r="AI380">
        <v>16</v>
      </c>
      <c r="AJ380">
        <v>0</v>
      </c>
      <c r="AK380">
        <v>11</v>
      </c>
      <c r="AL380" t="s">
        <v>203</v>
      </c>
      <c r="AM380" t="s">
        <v>204</v>
      </c>
      <c r="AN380" t="s">
        <v>205</v>
      </c>
      <c r="AO380" t="s">
        <v>206</v>
      </c>
      <c r="AP380" t="s">
        <v>74</v>
      </c>
      <c r="AQ380" t="s">
        <v>74</v>
      </c>
      <c r="AR380" t="s">
        <v>207</v>
      </c>
      <c r="AS380" t="s">
        <v>208</v>
      </c>
      <c r="AT380" t="s">
        <v>4627</v>
      </c>
      <c r="AU380">
        <v>2001</v>
      </c>
      <c r="AV380">
        <v>24</v>
      </c>
      <c r="AW380">
        <v>8</v>
      </c>
      <c r="AX380" t="s">
        <v>74</v>
      </c>
      <c r="AY380" t="s">
        <v>74</v>
      </c>
      <c r="AZ380" t="s">
        <v>74</v>
      </c>
      <c r="BA380" t="s">
        <v>74</v>
      </c>
      <c r="BB380">
        <v>604</v>
      </c>
      <c r="BC380">
        <v>614</v>
      </c>
      <c r="BD380" t="s">
        <v>74</v>
      </c>
      <c r="BE380" t="s">
        <v>5367</v>
      </c>
      <c r="BF380" t="str">
        <f>HYPERLINK("http://dx.doi.org/10.1007/s003000100261","http://dx.doi.org/10.1007/s003000100261")</f>
        <v>http://dx.doi.org/10.1007/s003000100261</v>
      </c>
      <c r="BG380" t="s">
        <v>74</v>
      </c>
      <c r="BH380" t="s">
        <v>74</v>
      </c>
      <c r="BI380">
        <v>11</v>
      </c>
      <c r="BJ380" t="s">
        <v>209</v>
      </c>
      <c r="BK380" t="s">
        <v>88</v>
      </c>
      <c r="BL380" t="s">
        <v>210</v>
      </c>
      <c r="BM380" t="s">
        <v>5333</v>
      </c>
      <c r="BN380" t="s">
        <v>74</v>
      </c>
      <c r="BO380" t="s">
        <v>74</v>
      </c>
      <c r="BP380" t="s">
        <v>74</v>
      </c>
      <c r="BQ380" t="s">
        <v>74</v>
      </c>
      <c r="BR380" t="s">
        <v>91</v>
      </c>
      <c r="BS380" t="s">
        <v>5368</v>
      </c>
      <c r="BT380" t="str">
        <f>HYPERLINK("https%3A%2F%2Fwww.webofscience.com%2Fwos%2Fwoscc%2Ffull-record%2FWOS:000170351700008","View Full Record in Web of Science")</f>
        <v>View Full Record in Web of Science</v>
      </c>
    </row>
    <row r="381" spans="1:72" x14ac:dyDescent="0.15">
      <c r="A381" t="s">
        <v>72</v>
      </c>
      <c r="B381" t="s">
        <v>5369</v>
      </c>
      <c r="C381" t="s">
        <v>74</v>
      </c>
      <c r="D381" t="s">
        <v>74</v>
      </c>
      <c r="E381" t="s">
        <v>74</v>
      </c>
      <c r="F381" t="s">
        <v>5369</v>
      </c>
      <c r="G381" t="s">
        <v>74</v>
      </c>
      <c r="H381" t="s">
        <v>74</v>
      </c>
      <c r="I381" t="s">
        <v>5370</v>
      </c>
      <c r="J381" t="s">
        <v>194</v>
      </c>
      <c r="K381" t="s">
        <v>74</v>
      </c>
      <c r="L381" t="s">
        <v>74</v>
      </c>
      <c r="M381" t="s">
        <v>77</v>
      </c>
      <c r="N381" t="s">
        <v>120</v>
      </c>
      <c r="O381" t="s">
        <v>74</v>
      </c>
      <c r="P381" t="s">
        <v>74</v>
      </c>
      <c r="Q381" t="s">
        <v>74</v>
      </c>
      <c r="R381" t="s">
        <v>74</v>
      </c>
      <c r="S381" t="s">
        <v>74</v>
      </c>
      <c r="T381" t="s">
        <v>74</v>
      </c>
      <c r="U381" t="s">
        <v>5371</v>
      </c>
      <c r="V381" t="s">
        <v>5372</v>
      </c>
      <c r="W381" t="s">
        <v>1678</v>
      </c>
      <c r="X381" t="s">
        <v>1679</v>
      </c>
      <c r="Y381" t="s">
        <v>5329</v>
      </c>
      <c r="Z381" t="s">
        <v>74</v>
      </c>
      <c r="AA381" t="s">
        <v>74</v>
      </c>
      <c r="AB381" t="s">
        <v>5373</v>
      </c>
      <c r="AC381" t="s">
        <v>74</v>
      </c>
      <c r="AD381" t="s">
        <v>74</v>
      </c>
      <c r="AE381" t="s">
        <v>74</v>
      </c>
      <c r="AF381" t="s">
        <v>74</v>
      </c>
      <c r="AG381">
        <v>24</v>
      </c>
      <c r="AH381">
        <v>101</v>
      </c>
      <c r="AI381">
        <v>107</v>
      </c>
      <c r="AJ381">
        <v>0</v>
      </c>
      <c r="AK381">
        <v>27</v>
      </c>
      <c r="AL381" t="s">
        <v>203</v>
      </c>
      <c r="AM381" t="s">
        <v>204</v>
      </c>
      <c r="AN381" t="s">
        <v>205</v>
      </c>
      <c r="AO381" t="s">
        <v>206</v>
      </c>
      <c r="AP381" t="s">
        <v>74</v>
      </c>
      <c r="AQ381" t="s">
        <v>74</v>
      </c>
      <c r="AR381" t="s">
        <v>207</v>
      </c>
      <c r="AS381" t="s">
        <v>208</v>
      </c>
      <c r="AT381" t="s">
        <v>4627</v>
      </c>
      <c r="AU381">
        <v>2001</v>
      </c>
      <c r="AV381">
        <v>24</v>
      </c>
      <c r="AW381">
        <v>8</v>
      </c>
      <c r="AX381" t="s">
        <v>74</v>
      </c>
      <c r="AY381" t="s">
        <v>74</v>
      </c>
      <c r="AZ381" t="s">
        <v>74</v>
      </c>
      <c r="BA381" t="s">
        <v>74</v>
      </c>
      <c r="BB381">
        <v>615</v>
      </c>
      <c r="BC381">
        <v>619</v>
      </c>
      <c r="BD381" t="s">
        <v>74</v>
      </c>
      <c r="BE381" t="s">
        <v>5374</v>
      </c>
      <c r="BF381" t="str">
        <f>HYPERLINK("http://dx.doi.org/10.1007/s003000100263","http://dx.doi.org/10.1007/s003000100263")</f>
        <v>http://dx.doi.org/10.1007/s003000100263</v>
      </c>
      <c r="BG381" t="s">
        <v>74</v>
      </c>
      <c r="BH381" t="s">
        <v>74</v>
      </c>
      <c r="BI381">
        <v>5</v>
      </c>
      <c r="BJ381" t="s">
        <v>209</v>
      </c>
      <c r="BK381" t="s">
        <v>88</v>
      </c>
      <c r="BL381" t="s">
        <v>210</v>
      </c>
      <c r="BM381" t="s">
        <v>5333</v>
      </c>
      <c r="BN381" t="s">
        <v>74</v>
      </c>
      <c r="BO381" t="s">
        <v>74</v>
      </c>
      <c r="BP381" t="s">
        <v>74</v>
      </c>
      <c r="BQ381" t="s">
        <v>74</v>
      </c>
      <c r="BR381" t="s">
        <v>91</v>
      </c>
      <c r="BS381" t="s">
        <v>5375</v>
      </c>
      <c r="BT381" t="str">
        <f>HYPERLINK("https%3A%2F%2Fwww.webofscience.com%2Fwos%2Fwoscc%2Ffull-record%2FWOS:000170351700009","View Full Record in Web of Science")</f>
        <v>View Full Record in Web of Science</v>
      </c>
    </row>
    <row r="382" spans="1:72" x14ac:dyDescent="0.15">
      <c r="A382" t="s">
        <v>72</v>
      </c>
      <c r="B382" t="s">
        <v>5376</v>
      </c>
      <c r="C382" t="s">
        <v>74</v>
      </c>
      <c r="D382" t="s">
        <v>74</v>
      </c>
      <c r="E382" t="s">
        <v>74</v>
      </c>
      <c r="F382" t="s">
        <v>5376</v>
      </c>
      <c r="G382" t="s">
        <v>74</v>
      </c>
      <c r="H382" t="s">
        <v>74</v>
      </c>
      <c r="I382" t="s">
        <v>5377</v>
      </c>
      <c r="J382" t="s">
        <v>194</v>
      </c>
      <c r="K382" t="s">
        <v>74</v>
      </c>
      <c r="L382" t="s">
        <v>74</v>
      </c>
      <c r="M382" t="s">
        <v>77</v>
      </c>
      <c r="N382" t="s">
        <v>120</v>
      </c>
      <c r="O382" t="s">
        <v>74</v>
      </c>
      <c r="P382" t="s">
        <v>74</v>
      </c>
      <c r="Q382" t="s">
        <v>74</v>
      </c>
      <c r="R382" t="s">
        <v>74</v>
      </c>
      <c r="S382" t="s">
        <v>74</v>
      </c>
      <c r="T382" t="s">
        <v>74</v>
      </c>
      <c r="U382" t="s">
        <v>5378</v>
      </c>
      <c r="V382" t="s">
        <v>5379</v>
      </c>
      <c r="W382" t="s">
        <v>5380</v>
      </c>
      <c r="X382" t="s">
        <v>5381</v>
      </c>
      <c r="Y382" t="s">
        <v>5382</v>
      </c>
      <c r="Z382" t="s">
        <v>74</v>
      </c>
      <c r="AA382" t="s">
        <v>5383</v>
      </c>
      <c r="AB382" t="s">
        <v>5384</v>
      </c>
      <c r="AC382" t="s">
        <v>74</v>
      </c>
      <c r="AD382" t="s">
        <v>74</v>
      </c>
      <c r="AE382" t="s">
        <v>74</v>
      </c>
      <c r="AF382" t="s">
        <v>74</v>
      </c>
      <c r="AG382">
        <v>50</v>
      </c>
      <c r="AH382">
        <v>42</v>
      </c>
      <c r="AI382">
        <v>49</v>
      </c>
      <c r="AJ382">
        <v>2</v>
      </c>
      <c r="AK382">
        <v>27</v>
      </c>
      <c r="AL382" t="s">
        <v>203</v>
      </c>
      <c r="AM382" t="s">
        <v>204</v>
      </c>
      <c r="AN382" t="s">
        <v>205</v>
      </c>
      <c r="AO382" t="s">
        <v>206</v>
      </c>
      <c r="AP382" t="s">
        <v>74</v>
      </c>
      <c r="AQ382" t="s">
        <v>74</v>
      </c>
      <c r="AR382" t="s">
        <v>207</v>
      </c>
      <c r="AS382" t="s">
        <v>208</v>
      </c>
      <c r="AT382" t="s">
        <v>4627</v>
      </c>
      <c r="AU382">
        <v>2001</v>
      </c>
      <c r="AV382">
        <v>24</v>
      </c>
      <c r="AW382">
        <v>8</v>
      </c>
      <c r="AX382" t="s">
        <v>74</v>
      </c>
      <c r="AY382" t="s">
        <v>74</v>
      </c>
      <c r="AZ382" t="s">
        <v>74</v>
      </c>
      <c r="BA382" t="s">
        <v>74</v>
      </c>
      <c r="BB382">
        <v>620</v>
      </c>
      <c r="BC382">
        <v>627</v>
      </c>
      <c r="BD382" t="s">
        <v>74</v>
      </c>
      <c r="BE382" t="s">
        <v>5385</v>
      </c>
      <c r="BF382" t="str">
        <f>HYPERLINK("http://dx.doi.org/10.1007/s003000100272","http://dx.doi.org/10.1007/s003000100272")</f>
        <v>http://dx.doi.org/10.1007/s003000100272</v>
      </c>
      <c r="BG382" t="s">
        <v>74</v>
      </c>
      <c r="BH382" t="s">
        <v>74</v>
      </c>
      <c r="BI382">
        <v>8</v>
      </c>
      <c r="BJ382" t="s">
        <v>209</v>
      </c>
      <c r="BK382" t="s">
        <v>88</v>
      </c>
      <c r="BL382" t="s">
        <v>210</v>
      </c>
      <c r="BM382" t="s">
        <v>5333</v>
      </c>
      <c r="BN382" t="s">
        <v>74</v>
      </c>
      <c r="BO382" t="s">
        <v>1685</v>
      </c>
      <c r="BP382" t="s">
        <v>74</v>
      </c>
      <c r="BQ382" t="s">
        <v>74</v>
      </c>
      <c r="BR382" t="s">
        <v>91</v>
      </c>
      <c r="BS382" t="s">
        <v>5386</v>
      </c>
      <c r="BT382" t="str">
        <f>HYPERLINK("https%3A%2F%2Fwww.webofscience.com%2Fwos%2Fwoscc%2Ffull-record%2FWOS:000170351700010","View Full Record in Web of Science")</f>
        <v>View Full Record in Web of Science</v>
      </c>
    </row>
    <row r="383" spans="1:72" x14ac:dyDescent="0.15">
      <c r="A383" t="s">
        <v>72</v>
      </c>
      <c r="B383" t="s">
        <v>5387</v>
      </c>
      <c r="C383" t="s">
        <v>74</v>
      </c>
      <c r="D383" t="s">
        <v>74</v>
      </c>
      <c r="E383" t="s">
        <v>74</v>
      </c>
      <c r="F383" t="s">
        <v>5387</v>
      </c>
      <c r="G383" t="s">
        <v>74</v>
      </c>
      <c r="H383" t="s">
        <v>74</v>
      </c>
      <c r="I383" t="s">
        <v>5388</v>
      </c>
      <c r="J383" t="s">
        <v>194</v>
      </c>
      <c r="K383" t="s">
        <v>74</v>
      </c>
      <c r="L383" t="s">
        <v>74</v>
      </c>
      <c r="M383" t="s">
        <v>77</v>
      </c>
      <c r="N383" t="s">
        <v>120</v>
      </c>
      <c r="O383" t="s">
        <v>74</v>
      </c>
      <c r="P383" t="s">
        <v>74</v>
      </c>
      <c r="Q383" t="s">
        <v>74</v>
      </c>
      <c r="R383" t="s">
        <v>74</v>
      </c>
      <c r="S383" t="s">
        <v>74</v>
      </c>
      <c r="T383" t="s">
        <v>74</v>
      </c>
      <c r="U383" t="s">
        <v>5389</v>
      </c>
      <c r="V383" t="s">
        <v>5390</v>
      </c>
      <c r="W383" t="s">
        <v>5391</v>
      </c>
      <c r="X383" t="s">
        <v>5392</v>
      </c>
      <c r="Y383" t="s">
        <v>5393</v>
      </c>
      <c r="Z383" t="s">
        <v>74</v>
      </c>
      <c r="AA383" t="s">
        <v>74</v>
      </c>
      <c r="AB383" t="s">
        <v>74</v>
      </c>
      <c r="AC383" t="s">
        <v>74</v>
      </c>
      <c r="AD383" t="s">
        <v>74</v>
      </c>
      <c r="AE383" t="s">
        <v>74</v>
      </c>
      <c r="AF383" t="s">
        <v>74</v>
      </c>
      <c r="AG383">
        <v>32</v>
      </c>
      <c r="AH383">
        <v>8</v>
      </c>
      <c r="AI383">
        <v>8</v>
      </c>
      <c r="AJ383">
        <v>0</v>
      </c>
      <c r="AK383">
        <v>4</v>
      </c>
      <c r="AL383" t="s">
        <v>203</v>
      </c>
      <c r="AM383" t="s">
        <v>204</v>
      </c>
      <c r="AN383" t="s">
        <v>205</v>
      </c>
      <c r="AO383" t="s">
        <v>206</v>
      </c>
      <c r="AP383" t="s">
        <v>74</v>
      </c>
      <c r="AQ383" t="s">
        <v>74</v>
      </c>
      <c r="AR383" t="s">
        <v>207</v>
      </c>
      <c r="AS383" t="s">
        <v>208</v>
      </c>
      <c r="AT383" t="s">
        <v>4627</v>
      </c>
      <c r="AU383">
        <v>2001</v>
      </c>
      <c r="AV383">
        <v>24</v>
      </c>
      <c r="AW383">
        <v>8</v>
      </c>
      <c r="AX383" t="s">
        <v>74</v>
      </c>
      <c r="AY383" t="s">
        <v>74</v>
      </c>
      <c r="AZ383" t="s">
        <v>74</v>
      </c>
      <c r="BA383" t="s">
        <v>74</v>
      </c>
      <c r="BB383">
        <v>628</v>
      </c>
      <c r="BC383">
        <v>632</v>
      </c>
      <c r="BD383" t="s">
        <v>74</v>
      </c>
      <c r="BE383" t="s">
        <v>5394</v>
      </c>
      <c r="BF383" t="str">
        <f>HYPERLINK("http://dx.doi.org/10.1007/s003000100278","http://dx.doi.org/10.1007/s003000100278")</f>
        <v>http://dx.doi.org/10.1007/s003000100278</v>
      </c>
      <c r="BG383" t="s">
        <v>74</v>
      </c>
      <c r="BH383" t="s">
        <v>74</v>
      </c>
      <c r="BI383">
        <v>5</v>
      </c>
      <c r="BJ383" t="s">
        <v>209</v>
      </c>
      <c r="BK383" t="s">
        <v>88</v>
      </c>
      <c r="BL383" t="s">
        <v>210</v>
      </c>
      <c r="BM383" t="s">
        <v>5333</v>
      </c>
      <c r="BN383" t="s">
        <v>74</v>
      </c>
      <c r="BO383" t="s">
        <v>74</v>
      </c>
      <c r="BP383" t="s">
        <v>74</v>
      </c>
      <c r="BQ383" t="s">
        <v>74</v>
      </c>
      <c r="BR383" t="s">
        <v>91</v>
      </c>
      <c r="BS383" t="s">
        <v>5395</v>
      </c>
      <c r="BT383" t="str">
        <f>HYPERLINK("https%3A%2F%2Fwww.webofscience.com%2Fwos%2Fwoscc%2Ffull-record%2FWOS:000170351700011","View Full Record in Web of Science")</f>
        <v>View Full Record in Web of Science</v>
      </c>
    </row>
    <row r="384" spans="1:72" x14ac:dyDescent="0.15">
      <c r="A384" t="s">
        <v>72</v>
      </c>
      <c r="B384" t="s">
        <v>5396</v>
      </c>
      <c r="C384" t="s">
        <v>74</v>
      </c>
      <c r="D384" t="s">
        <v>74</v>
      </c>
      <c r="E384" t="s">
        <v>74</v>
      </c>
      <c r="F384" t="s">
        <v>5396</v>
      </c>
      <c r="G384" t="s">
        <v>74</v>
      </c>
      <c r="H384" t="s">
        <v>74</v>
      </c>
      <c r="I384" t="s">
        <v>5397</v>
      </c>
      <c r="J384" t="s">
        <v>5398</v>
      </c>
      <c r="K384" t="s">
        <v>74</v>
      </c>
      <c r="L384" t="s">
        <v>74</v>
      </c>
      <c r="M384" t="s">
        <v>77</v>
      </c>
      <c r="N384" t="s">
        <v>96</v>
      </c>
      <c r="O384" t="s">
        <v>74</v>
      </c>
      <c r="P384" t="s">
        <v>74</v>
      </c>
      <c r="Q384" t="s">
        <v>74</v>
      </c>
      <c r="R384" t="s">
        <v>74</v>
      </c>
      <c r="S384" t="s">
        <v>74</v>
      </c>
      <c r="T384" t="s">
        <v>74</v>
      </c>
      <c r="U384" t="s">
        <v>5399</v>
      </c>
      <c r="V384" t="s">
        <v>5400</v>
      </c>
      <c r="W384" t="s">
        <v>5401</v>
      </c>
      <c r="X384" t="s">
        <v>5402</v>
      </c>
      <c r="Y384" t="s">
        <v>5403</v>
      </c>
      <c r="Z384" t="s">
        <v>5404</v>
      </c>
      <c r="AA384" t="s">
        <v>5405</v>
      </c>
      <c r="AB384" t="s">
        <v>5406</v>
      </c>
      <c r="AC384" t="s">
        <v>74</v>
      </c>
      <c r="AD384" t="s">
        <v>74</v>
      </c>
      <c r="AE384" t="s">
        <v>74</v>
      </c>
      <c r="AF384" t="s">
        <v>74</v>
      </c>
      <c r="AG384">
        <v>161</v>
      </c>
      <c r="AH384">
        <v>252</v>
      </c>
      <c r="AI384">
        <v>295</v>
      </c>
      <c r="AJ384">
        <v>2</v>
      </c>
      <c r="AK384">
        <v>91</v>
      </c>
      <c r="AL384" t="s">
        <v>149</v>
      </c>
      <c r="AM384" t="s">
        <v>150</v>
      </c>
      <c r="AN384" t="s">
        <v>151</v>
      </c>
      <c r="AO384" t="s">
        <v>5407</v>
      </c>
      <c r="AP384" t="s">
        <v>5408</v>
      </c>
      <c r="AQ384" t="s">
        <v>74</v>
      </c>
      <c r="AR384" t="s">
        <v>5409</v>
      </c>
      <c r="AS384" t="s">
        <v>5410</v>
      </c>
      <c r="AT384" t="s">
        <v>4627</v>
      </c>
      <c r="AU384">
        <v>2001</v>
      </c>
      <c r="AV384">
        <v>39</v>
      </c>
      <c r="AW384">
        <v>3</v>
      </c>
      <c r="AX384" t="s">
        <v>74</v>
      </c>
      <c r="AY384" t="s">
        <v>74</v>
      </c>
      <c r="AZ384" t="s">
        <v>74</v>
      </c>
      <c r="BA384" t="s">
        <v>74</v>
      </c>
      <c r="BB384">
        <v>413</v>
      </c>
      <c r="BC384">
        <v>445</v>
      </c>
      <c r="BD384" t="s">
        <v>74</v>
      </c>
      <c r="BE384" t="s">
        <v>5411</v>
      </c>
      <c r="BF384" t="str">
        <f>HYPERLINK("http://dx.doi.org/10.1029/2000RG000085","http://dx.doi.org/10.1029/2000RG000085")</f>
        <v>http://dx.doi.org/10.1029/2000RG000085</v>
      </c>
      <c r="BG384" t="s">
        <v>74</v>
      </c>
      <c r="BH384" t="s">
        <v>74</v>
      </c>
      <c r="BI384">
        <v>33</v>
      </c>
      <c r="BJ384" t="s">
        <v>388</v>
      </c>
      <c r="BK384" t="s">
        <v>88</v>
      </c>
      <c r="BL384" t="s">
        <v>388</v>
      </c>
      <c r="BM384" t="s">
        <v>5412</v>
      </c>
      <c r="BN384" t="s">
        <v>74</v>
      </c>
      <c r="BO384" t="s">
        <v>171</v>
      </c>
      <c r="BP384" t="s">
        <v>74</v>
      </c>
      <c r="BQ384" t="s">
        <v>74</v>
      </c>
      <c r="BR384" t="s">
        <v>91</v>
      </c>
      <c r="BS384" t="s">
        <v>5413</v>
      </c>
      <c r="BT384" t="str">
        <f>HYPERLINK("https%3A%2F%2Fwww.webofscience.com%2Fwos%2Fwoscc%2Ffull-record%2FWOS:000170218500005","View Full Record in Web of Science")</f>
        <v>View Full Record in Web of Science</v>
      </c>
    </row>
    <row r="385" spans="1:72" x14ac:dyDescent="0.15">
      <c r="A385" t="s">
        <v>72</v>
      </c>
      <c r="B385" t="s">
        <v>5414</v>
      </c>
      <c r="C385" t="s">
        <v>74</v>
      </c>
      <c r="D385" t="s">
        <v>74</v>
      </c>
      <c r="E385" t="s">
        <v>74</v>
      </c>
      <c r="F385" t="s">
        <v>5414</v>
      </c>
      <c r="G385" t="s">
        <v>74</v>
      </c>
      <c r="H385" t="s">
        <v>74</v>
      </c>
      <c r="I385" t="s">
        <v>5415</v>
      </c>
      <c r="J385" t="s">
        <v>284</v>
      </c>
      <c r="K385" t="s">
        <v>74</v>
      </c>
      <c r="L385" t="s">
        <v>74</v>
      </c>
      <c r="M385" t="s">
        <v>77</v>
      </c>
      <c r="N385" t="s">
        <v>120</v>
      </c>
      <c r="O385" t="s">
        <v>74</v>
      </c>
      <c r="P385" t="s">
        <v>74</v>
      </c>
      <c r="Q385" t="s">
        <v>74</v>
      </c>
      <c r="R385" t="s">
        <v>74</v>
      </c>
      <c r="S385" t="s">
        <v>74</v>
      </c>
      <c r="T385" t="s">
        <v>5416</v>
      </c>
      <c r="U385" t="s">
        <v>74</v>
      </c>
      <c r="V385" t="s">
        <v>5417</v>
      </c>
      <c r="W385" t="s">
        <v>5418</v>
      </c>
      <c r="X385" t="s">
        <v>5419</v>
      </c>
      <c r="Y385" t="s">
        <v>5420</v>
      </c>
      <c r="Z385" t="s">
        <v>74</v>
      </c>
      <c r="AA385" t="s">
        <v>74</v>
      </c>
      <c r="AB385" t="s">
        <v>74</v>
      </c>
      <c r="AC385" t="s">
        <v>74</v>
      </c>
      <c r="AD385" t="s">
        <v>74</v>
      </c>
      <c r="AE385" t="s">
        <v>74</v>
      </c>
      <c r="AF385" t="s">
        <v>74</v>
      </c>
      <c r="AG385">
        <v>20</v>
      </c>
      <c r="AH385">
        <v>17</v>
      </c>
      <c r="AI385">
        <v>21</v>
      </c>
      <c r="AJ385">
        <v>2</v>
      </c>
      <c r="AK385">
        <v>15</v>
      </c>
      <c r="AL385" t="s">
        <v>5421</v>
      </c>
      <c r="AM385" t="s">
        <v>293</v>
      </c>
      <c r="AN385" t="s">
        <v>294</v>
      </c>
      <c r="AO385" t="s">
        <v>295</v>
      </c>
      <c r="AP385" t="s">
        <v>74</v>
      </c>
      <c r="AQ385" t="s">
        <v>74</v>
      </c>
      <c r="AR385" t="s">
        <v>296</v>
      </c>
      <c r="AS385" t="s">
        <v>297</v>
      </c>
      <c r="AT385" t="s">
        <v>4627</v>
      </c>
      <c r="AU385">
        <v>2001</v>
      </c>
      <c r="AV385">
        <v>44</v>
      </c>
      <c r="AW385">
        <v>8</v>
      </c>
      <c r="AX385" t="s">
        <v>74</v>
      </c>
      <c r="AY385" t="s">
        <v>74</v>
      </c>
      <c r="AZ385" t="s">
        <v>74</v>
      </c>
      <c r="BA385" t="s">
        <v>74</v>
      </c>
      <c r="BB385">
        <v>689</v>
      </c>
      <c r="BC385">
        <v>695</v>
      </c>
      <c r="BD385" t="s">
        <v>74</v>
      </c>
      <c r="BE385" t="s">
        <v>5422</v>
      </c>
      <c r="BF385" t="str">
        <f>HYPERLINK("http://dx.doi.org/10.1007/BF02907198","http://dx.doi.org/10.1007/BF02907198")</f>
        <v>http://dx.doi.org/10.1007/BF02907198</v>
      </c>
      <c r="BG385" t="s">
        <v>74</v>
      </c>
      <c r="BH385" t="s">
        <v>74</v>
      </c>
      <c r="BI385">
        <v>7</v>
      </c>
      <c r="BJ385" t="s">
        <v>300</v>
      </c>
      <c r="BK385" t="s">
        <v>88</v>
      </c>
      <c r="BL385" t="s">
        <v>113</v>
      </c>
      <c r="BM385" t="s">
        <v>5423</v>
      </c>
      <c r="BN385" t="s">
        <v>74</v>
      </c>
      <c r="BO385" t="s">
        <v>74</v>
      </c>
      <c r="BP385" t="s">
        <v>74</v>
      </c>
      <c r="BQ385" t="s">
        <v>74</v>
      </c>
      <c r="BR385" t="s">
        <v>91</v>
      </c>
      <c r="BS385" t="s">
        <v>5424</v>
      </c>
      <c r="BT385" t="str">
        <f>HYPERLINK("https%3A%2F%2Fwww.webofscience.com%2Fwos%2Fwoscc%2Ffull-record%2FWOS:000171966200003","View Full Record in Web of Science")</f>
        <v>View Full Record in Web of Science</v>
      </c>
    </row>
    <row r="386" spans="1:72" x14ac:dyDescent="0.15">
      <c r="A386" t="s">
        <v>72</v>
      </c>
      <c r="B386" t="s">
        <v>5425</v>
      </c>
      <c r="C386" t="s">
        <v>74</v>
      </c>
      <c r="D386" t="s">
        <v>74</v>
      </c>
      <c r="E386" t="s">
        <v>74</v>
      </c>
      <c r="F386" t="s">
        <v>5425</v>
      </c>
      <c r="G386" t="s">
        <v>74</v>
      </c>
      <c r="H386" t="s">
        <v>74</v>
      </c>
      <c r="I386" t="s">
        <v>5426</v>
      </c>
      <c r="J386" t="s">
        <v>710</v>
      </c>
      <c r="K386" t="s">
        <v>74</v>
      </c>
      <c r="L386" t="s">
        <v>74</v>
      </c>
      <c r="M386" t="s">
        <v>77</v>
      </c>
      <c r="N386" t="s">
        <v>120</v>
      </c>
      <c r="O386" t="s">
        <v>74</v>
      </c>
      <c r="P386" t="s">
        <v>74</v>
      </c>
      <c r="Q386" t="s">
        <v>74</v>
      </c>
      <c r="R386" t="s">
        <v>74</v>
      </c>
      <c r="S386" t="s">
        <v>74</v>
      </c>
      <c r="T386" t="s">
        <v>5427</v>
      </c>
      <c r="U386" t="s">
        <v>5428</v>
      </c>
      <c r="V386" t="s">
        <v>5429</v>
      </c>
      <c r="W386" t="s">
        <v>5430</v>
      </c>
      <c r="X386" t="s">
        <v>5431</v>
      </c>
      <c r="Y386" t="s">
        <v>5432</v>
      </c>
      <c r="Z386" t="s">
        <v>74</v>
      </c>
      <c r="AA386" t="s">
        <v>5433</v>
      </c>
      <c r="AB386" t="s">
        <v>74</v>
      </c>
      <c r="AC386" t="s">
        <v>74</v>
      </c>
      <c r="AD386" t="s">
        <v>74</v>
      </c>
      <c r="AE386" t="s">
        <v>74</v>
      </c>
      <c r="AF386" t="s">
        <v>74</v>
      </c>
      <c r="AG386">
        <v>66</v>
      </c>
      <c r="AH386">
        <v>26</v>
      </c>
      <c r="AI386">
        <v>26</v>
      </c>
      <c r="AJ386">
        <v>0</v>
      </c>
      <c r="AK386">
        <v>4</v>
      </c>
      <c r="AL386" t="s">
        <v>149</v>
      </c>
      <c r="AM386" t="s">
        <v>150</v>
      </c>
      <c r="AN386" t="s">
        <v>151</v>
      </c>
      <c r="AO386" t="s">
        <v>715</v>
      </c>
      <c r="AP386" t="s">
        <v>74</v>
      </c>
      <c r="AQ386" t="s">
        <v>74</v>
      </c>
      <c r="AR386" t="s">
        <v>716</v>
      </c>
      <c r="AS386" t="s">
        <v>717</v>
      </c>
      <c r="AT386" t="s">
        <v>5434</v>
      </c>
      <c r="AU386">
        <v>2001</v>
      </c>
      <c r="AV386">
        <v>2</v>
      </c>
      <c r="AW386" t="s">
        <v>74</v>
      </c>
      <c r="AX386" t="s">
        <v>74</v>
      </c>
      <c r="AY386" t="s">
        <v>74</v>
      </c>
      <c r="AZ386" t="s">
        <v>74</v>
      </c>
      <c r="BA386" t="s">
        <v>74</v>
      </c>
      <c r="BB386" t="s">
        <v>74</v>
      </c>
      <c r="BC386" t="s">
        <v>74</v>
      </c>
      <c r="BD386" t="s">
        <v>5435</v>
      </c>
      <c r="BE386" t="s">
        <v>74</v>
      </c>
      <c r="BF386" t="s">
        <v>74</v>
      </c>
      <c r="BG386" t="s">
        <v>74</v>
      </c>
      <c r="BH386" t="s">
        <v>74</v>
      </c>
      <c r="BI386">
        <v>29</v>
      </c>
      <c r="BJ386" t="s">
        <v>388</v>
      </c>
      <c r="BK386" t="s">
        <v>88</v>
      </c>
      <c r="BL386" t="s">
        <v>388</v>
      </c>
      <c r="BM386" t="s">
        <v>5436</v>
      </c>
      <c r="BN386" t="s">
        <v>74</v>
      </c>
      <c r="BO386" t="s">
        <v>74</v>
      </c>
      <c r="BP386" t="s">
        <v>74</v>
      </c>
      <c r="BQ386" t="s">
        <v>74</v>
      </c>
      <c r="BR386" t="s">
        <v>91</v>
      </c>
      <c r="BS386" t="s">
        <v>5437</v>
      </c>
      <c r="BT386" t="str">
        <f>HYPERLINK("https%3A%2F%2Fwww.webofscience.com%2Fwos%2Fwoscc%2Ffull-record%2FWOS:000170201800002","View Full Record in Web of Science")</f>
        <v>View Full Record in Web of Science</v>
      </c>
    </row>
    <row r="387" spans="1:72" x14ac:dyDescent="0.15">
      <c r="A387" t="s">
        <v>72</v>
      </c>
      <c r="B387" t="s">
        <v>5438</v>
      </c>
      <c r="C387" t="s">
        <v>74</v>
      </c>
      <c r="D387" t="s">
        <v>74</v>
      </c>
      <c r="E387" t="s">
        <v>74</v>
      </c>
      <c r="F387" t="s">
        <v>5438</v>
      </c>
      <c r="G387" t="s">
        <v>74</v>
      </c>
      <c r="H387" t="s">
        <v>74</v>
      </c>
      <c r="I387" t="s">
        <v>5439</v>
      </c>
      <c r="J387" t="s">
        <v>710</v>
      </c>
      <c r="K387" t="s">
        <v>74</v>
      </c>
      <c r="L387" t="s">
        <v>74</v>
      </c>
      <c r="M387" t="s">
        <v>77</v>
      </c>
      <c r="N387" t="s">
        <v>120</v>
      </c>
      <c r="O387" t="s">
        <v>74</v>
      </c>
      <c r="P387" t="s">
        <v>74</v>
      </c>
      <c r="Q387" t="s">
        <v>74</v>
      </c>
      <c r="R387" t="s">
        <v>74</v>
      </c>
      <c r="S387" t="s">
        <v>74</v>
      </c>
      <c r="T387" t="s">
        <v>5440</v>
      </c>
      <c r="U387" t="s">
        <v>5441</v>
      </c>
      <c r="V387" t="s">
        <v>5442</v>
      </c>
      <c r="W387" t="s">
        <v>5443</v>
      </c>
      <c r="X387" t="s">
        <v>5444</v>
      </c>
      <c r="Y387" t="s">
        <v>5445</v>
      </c>
      <c r="Z387" t="s">
        <v>5446</v>
      </c>
      <c r="AA387" t="s">
        <v>5447</v>
      </c>
      <c r="AB387" t="s">
        <v>74</v>
      </c>
      <c r="AC387" t="s">
        <v>74</v>
      </c>
      <c r="AD387" t="s">
        <v>74</v>
      </c>
      <c r="AE387" t="s">
        <v>74</v>
      </c>
      <c r="AF387" t="s">
        <v>74</v>
      </c>
      <c r="AG387">
        <v>35</v>
      </c>
      <c r="AH387">
        <v>98</v>
      </c>
      <c r="AI387">
        <v>119</v>
      </c>
      <c r="AJ387">
        <v>1</v>
      </c>
      <c r="AK387">
        <v>22</v>
      </c>
      <c r="AL387" t="s">
        <v>149</v>
      </c>
      <c r="AM387" t="s">
        <v>150</v>
      </c>
      <c r="AN387" t="s">
        <v>151</v>
      </c>
      <c r="AO387" t="s">
        <v>715</v>
      </c>
      <c r="AP387" t="s">
        <v>74</v>
      </c>
      <c r="AQ387" t="s">
        <v>74</v>
      </c>
      <c r="AR387" t="s">
        <v>716</v>
      </c>
      <c r="AS387" t="s">
        <v>717</v>
      </c>
      <c r="AT387" t="s">
        <v>5434</v>
      </c>
      <c r="AU387">
        <v>2001</v>
      </c>
      <c r="AV387">
        <v>2</v>
      </c>
      <c r="AW387" t="s">
        <v>74</v>
      </c>
      <c r="AX387" t="s">
        <v>74</v>
      </c>
      <c r="AY387" t="s">
        <v>74</v>
      </c>
      <c r="AZ387" t="s">
        <v>74</v>
      </c>
      <c r="BA387" t="s">
        <v>74</v>
      </c>
      <c r="BB387" t="s">
        <v>74</v>
      </c>
      <c r="BC387" t="s">
        <v>74</v>
      </c>
      <c r="BD387" t="s">
        <v>5448</v>
      </c>
      <c r="BE387" t="s">
        <v>5449</v>
      </c>
      <c r="BF387" t="str">
        <f>HYPERLINK("http://dx.doi.org/10.1029/2000GC000146","http://dx.doi.org/10.1029/2000GC000146")</f>
        <v>http://dx.doi.org/10.1029/2000GC000146</v>
      </c>
      <c r="BG387" t="s">
        <v>74</v>
      </c>
      <c r="BH387" t="s">
        <v>74</v>
      </c>
      <c r="BI387">
        <v>24</v>
      </c>
      <c r="BJ387" t="s">
        <v>388</v>
      </c>
      <c r="BK387" t="s">
        <v>88</v>
      </c>
      <c r="BL387" t="s">
        <v>388</v>
      </c>
      <c r="BM387" t="s">
        <v>5436</v>
      </c>
      <c r="BN387" t="s">
        <v>74</v>
      </c>
      <c r="BO387" t="s">
        <v>74</v>
      </c>
      <c r="BP387" t="s">
        <v>74</v>
      </c>
      <c r="BQ387" t="s">
        <v>74</v>
      </c>
      <c r="BR387" t="s">
        <v>91</v>
      </c>
      <c r="BS387" t="s">
        <v>5450</v>
      </c>
      <c r="BT387" t="str">
        <f>HYPERLINK("https%3A%2F%2Fwww.webofscience.com%2Fwos%2Fwoscc%2Ffull-record%2FWOS:000170201800001","View Full Record in Web of Science")</f>
        <v>View Full Record in Web of Science</v>
      </c>
    </row>
    <row r="388" spans="1:72" x14ac:dyDescent="0.15">
      <c r="A388" t="s">
        <v>72</v>
      </c>
      <c r="B388" t="s">
        <v>5451</v>
      </c>
      <c r="C388" t="s">
        <v>74</v>
      </c>
      <c r="D388" t="s">
        <v>74</v>
      </c>
      <c r="E388" t="s">
        <v>74</v>
      </c>
      <c r="F388" t="s">
        <v>5451</v>
      </c>
      <c r="G388" t="s">
        <v>74</v>
      </c>
      <c r="H388" t="s">
        <v>74</v>
      </c>
      <c r="I388" t="s">
        <v>5452</v>
      </c>
      <c r="J388" t="s">
        <v>522</v>
      </c>
      <c r="K388" t="s">
        <v>74</v>
      </c>
      <c r="L388" t="s">
        <v>74</v>
      </c>
      <c r="M388" t="s">
        <v>77</v>
      </c>
      <c r="N388" t="s">
        <v>120</v>
      </c>
      <c r="O388" t="s">
        <v>74</v>
      </c>
      <c r="P388" t="s">
        <v>74</v>
      </c>
      <c r="Q388" t="s">
        <v>74</v>
      </c>
      <c r="R388" t="s">
        <v>74</v>
      </c>
      <c r="S388" t="s">
        <v>74</v>
      </c>
      <c r="T388" t="s">
        <v>74</v>
      </c>
      <c r="U388" t="s">
        <v>5453</v>
      </c>
      <c r="V388" t="s">
        <v>5454</v>
      </c>
      <c r="W388" t="s">
        <v>5455</v>
      </c>
      <c r="X388" t="s">
        <v>5456</v>
      </c>
      <c r="Y388" t="s">
        <v>5457</v>
      </c>
      <c r="Z388" t="s">
        <v>74</v>
      </c>
      <c r="AA388" t="s">
        <v>5458</v>
      </c>
      <c r="AB388" t="s">
        <v>5459</v>
      </c>
      <c r="AC388" t="s">
        <v>74</v>
      </c>
      <c r="AD388" t="s">
        <v>74</v>
      </c>
      <c r="AE388" t="s">
        <v>74</v>
      </c>
      <c r="AF388" t="s">
        <v>74</v>
      </c>
      <c r="AG388">
        <v>89</v>
      </c>
      <c r="AH388">
        <v>140</v>
      </c>
      <c r="AI388">
        <v>157</v>
      </c>
      <c r="AJ388">
        <v>1</v>
      </c>
      <c r="AK388">
        <v>24</v>
      </c>
      <c r="AL388" t="s">
        <v>149</v>
      </c>
      <c r="AM388" t="s">
        <v>150</v>
      </c>
      <c r="AN388" t="s">
        <v>151</v>
      </c>
      <c r="AO388" t="s">
        <v>531</v>
      </c>
      <c r="AP388" t="s">
        <v>532</v>
      </c>
      <c r="AQ388" t="s">
        <v>74</v>
      </c>
      <c r="AR388" t="s">
        <v>533</v>
      </c>
      <c r="AS388" t="s">
        <v>534</v>
      </c>
      <c r="AT388" t="s">
        <v>5460</v>
      </c>
      <c r="AU388">
        <v>2001</v>
      </c>
      <c r="AV388">
        <v>106</v>
      </c>
      <c r="AW388" t="s">
        <v>5461</v>
      </c>
      <c r="AX388" t="s">
        <v>74</v>
      </c>
      <c r="AY388" t="s">
        <v>74</v>
      </c>
      <c r="AZ388" t="s">
        <v>74</v>
      </c>
      <c r="BA388" t="s">
        <v>74</v>
      </c>
      <c r="BB388">
        <v>14783</v>
      </c>
      <c r="BC388">
        <v>14803</v>
      </c>
      <c r="BD388" t="s">
        <v>74</v>
      </c>
      <c r="BE388" t="s">
        <v>5462</v>
      </c>
      <c r="BF388" t="str">
        <f>HYPERLINK("http://dx.doi.org/10.1029/2000JD900469","http://dx.doi.org/10.1029/2000JD900469")</f>
        <v>http://dx.doi.org/10.1029/2000JD900469</v>
      </c>
      <c r="BG388" t="s">
        <v>74</v>
      </c>
      <c r="BH388" t="s">
        <v>74</v>
      </c>
      <c r="BI388">
        <v>21</v>
      </c>
      <c r="BJ388" t="s">
        <v>538</v>
      </c>
      <c r="BK388" t="s">
        <v>88</v>
      </c>
      <c r="BL388" t="s">
        <v>538</v>
      </c>
      <c r="BM388" t="s">
        <v>5463</v>
      </c>
      <c r="BN388" t="s">
        <v>74</v>
      </c>
      <c r="BO388" t="s">
        <v>74</v>
      </c>
      <c r="BP388" t="s">
        <v>74</v>
      </c>
      <c r="BQ388" t="s">
        <v>74</v>
      </c>
      <c r="BR388" t="s">
        <v>91</v>
      </c>
      <c r="BS388" t="s">
        <v>5464</v>
      </c>
      <c r="BT388" t="str">
        <f>HYPERLINK("https%3A%2F%2Fwww.webofscience.com%2Fwos%2Fwoscc%2Ffull-record%2FWOS:000170109700004","View Full Record in Web of Science")</f>
        <v>View Full Record in Web of Science</v>
      </c>
    </row>
    <row r="389" spans="1:72" x14ac:dyDescent="0.15">
      <c r="A389" t="s">
        <v>72</v>
      </c>
      <c r="B389" t="s">
        <v>5465</v>
      </c>
      <c r="C389" t="s">
        <v>74</v>
      </c>
      <c r="D389" t="s">
        <v>74</v>
      </c>
      <c r="E389" t="s">
        <v>74</v>
      </c>
      <c r="F389" t="s">
        <v>5465</v>
      </c>
      <c r="G389" t="s">
        <v>74</v>
      </c>
      <c r="H389" t="s">
        <v>74</v>
      </c>
      <c r="I389" t="s">
        <v>5466</v>
      </c>
      <c r="J389" t="s">
        <v>5467</v>
      </c>
      <c r="K389" t="s">
        <v>74</v>
      </c>
      <c r="L389" t="s">
        <v>74</v>
      </c>
      <c r="M389" t="s">
        <v>77</v>
      </c>
      <c r="N389" t="s">
        <v>120</v>
      </c>
      <c r="O389" t="s">
        <v>74</v>
      </c>
      <c r="P389" t="s">
        <v>74</v>
      </c>
      <c r="Q389" t="s">
        <v>74</v>
      </c>
      <c r="R389" t="s">
        <v>74</v>
      </c>
      <c r="S389" t="s">
        <v>74</v>
      </c>
      <c r="T389" t="s">
        <v>74</v>
      </c>
      <c r="U389" t="s">
        <v>5468</v>
      </c>
      <c r="V389" t="s">
        <v>5469</v>
      </c>
      <c r="W389" t="s">
        <v>5470</v>
      </c>
      <c r="X389" t="s">
        <v>5471</v>
      </c>
      <c r="Y389" t="s">
        <v>5472</v>
      </c>
      <c r="Z389" t="s">
        <v>74</v>
      </c>
      <c r="AA389" t="s">
        <v>74</v>
      </c>
      <c r="AB389" t="s">
        <v>74</v>
      </c>
      <c r="AC389" t="s">
        <v>74</v>
      </c>
      <c r="AD389" t="s">
        <v>74</v>
      </c>
      <c r="AE389" t="s">
        <v>74</v>
      </c>
      <c r="AF389" t="s">
        <v>74</v>
      </c>
      <c r="AG389">
        <v>89</v>
      </c>
      <c r="AH389">
        <v>11</v>
      </c>
      <c r="AI389">
        <v>13</v>
      </c>
      <c r="AJ389">
        <v>1</v>
      </c>
      <c r="AK389">
        <v>13</v>
      </c>
      <c r="AL389" t="s">
        <v>508</v>
      </c>
      <c r="AM389" t="s">
        <v>150</v>
      </c>
      <c r="AN389" t="s">
        <v>509</v>
      </c>
      <c r="AO389" t="s">
        <v>5473</v>
      </c>
      <c r="AP389" t="s">
        <v>74</v>
      </c>
      <c r="AQ389" t="s">
        <v>74</v>
      </c>
      <c r="AR389" t="s">
        <v>5474</v>
      </c>
      <c r="AS389" t="s">
        <v>5475</v>
      </c>
      <c r="AT389" t="s">
        <v>5476</v>
      </c>
      <c r="AU389">
        <v>2001</v>
      </c>
      <c r="AV389">
        <v>105</v>
      </c>
      <c r="AW389">
        <v>29</v>
      </c>
      <c r="AX389" t="s">
        <v>74</v>
      </c>
      <c r="AY389" t="s">
        <v>74</v>
      </c>
      <c r="AZ389" t="s">
        <v>74</v>
      </c>
      <c r="BA389" t="s">
        <v>74</v>
      </c>
      <c r="BB389">
        <v>7011</v>
      </c>
      <c r="BC389">
        <v>7024</v>
      </c>
      <c r="BD389" t="s">
        <v>74</v>
      </c>
      <c r="BE389" t="s">
        <v>5477</v>
      </c>
      <c r="BF389" t="str">
        <f>HYPERLINK("http://dx.doi.org/10.1021/jp0100304","http://dx.doi.org/10.1021/jp0100304")</f>
        <v>http://dx.doi.org/10.1021/jp0100304</v>
      </c>
      <c r="BG389" t="s">
        <v>74</v>
      </c>
      <c r="BH389" t="s">
        <v>74</v>
      </c>
      <c r="BI389">
        <v>14</v>
      </c>
      <c r="BJ389" t="s">
        <v>5478</v>
      </c>
      <c r="BK389" t="s">
        <v>88</v>
      </c>
      <c r="BL389" t="s">
        <v>5479</v>
      </c>
      <c r="BM389" t="s">
        <v>5480</v>
      </c>
      <c r="BN389" t="s">
        <v>74</v>
      </c>
      <c r="BO389" t="s">
        <v>74</v>
      </c>
      <c r="BP389" t="s">
        <v>74</v>
      </c>
      <c r="BQ389" t="s">
        <v>74</v>
      </c>
      <c r="BR389" t="s">
        <v>91</v>
      </c>
      <c r="BS389" t="s">
        <v>5481</v>
      </c>
      <c r="BT389" t="str">
        <f>HYPERLINK("https%3A%2F%2Fwww.webofscience.com%2Fwos%2Fwoscc%2Ffull-record%2FWOS:000170152600008","View Full Record in Web of Science")</f>
        <v>View Full Record in Web of Science</v>
      </c>
    </row>
    <row r="390" spans="1:72" x14ac:dyDescent="0.15">
      <c r="A390" t="s">
        <v>72</v>
      </c>
      <c r="B390" t="s">
        <v>5482</v>
      </c>
      <c r="C390" t="s">
        <v>74</v>
      </c>
      <c r="D390" t="s">
        <v>74</v>
      </c>
      <c r="E390" t="s">
        <v>74</v>
      </c>
      <c r="F390" t="s">
        <v>5482</v>
      </c>
      <c r="G390" t="s">
        <v>74</v>
      </c>
      <c r="H390" t="s">
        <v>74</v>
      </c>
      <c r="I390" t="s">
        <v>5483</v>
      </c>
      <c r="J390" t="s">
        <v>5484</v>
      </c>
      <c r="K390" t="s">
        <v>74</v>
      </c>
      <c r="L390" t="s">
        <v>74</v>
      </c>
      <c r="M390" t="s">
        <v>77</v>
      </c>
      <c r="N390" t="s">
        <v>120</v>
      </c>
      <c r="O390" t="s">
        <v>74</v>
      </c>
      <c r="P390" t="s">
        <v>74</v>
      </c>
      <c r="Q390" t="s">
        <v>74</v>
      </c>
      <c r="R390" t="s">
        <v>74</v>
      </c>
      <c r="S390" t="s">
        <v>74</v>
      </c>
      <c r="T390" t="s">
        <v>74</v>
      </c>
      <c r="U390" t="s">
        <v>5485</v>
      </c>
      <c r="V390" t="s">
        <v>5486</v>
      </c>
      <c r="W390" t="s">
        <v>461</v>
      </c>
      <c r="X390" t="s">
        <v>462</v>
      </c>
      <c r="Y390" t="s">
        <v>5487</v>
      </c>
      <c r="Z390" t="s">
        <v>74</v>
      </c>
      <c r="AA390" t="s">
        <v>5488</v>
      </c>
      <c r="AB390" t="s">
        <v>5489</v>
      </c>
      <c r="AC390" t="s">
        <v>74</v>
      </c>
      <c r="AD390" t="s">
        <v>74</v>
      </c>
      <c r="AE390" t="s">
        <v>74</v>
      </c>
      <c r="AF390" t="s">
        <v>74</v>
      </c>
      <c r="AG390">
        <v>22</v>
      </c>
      <c r="AH390">
        <v>35</v>
      </c>
      <c r="AI390">
        <v>36</v>
      </c>
      <c r="AJ390">
        <v>0</v>
      </c>
      <c r="AK390">
        <v>2</v>
      </c>
      <c r="AL390" t="s">
        <v>1739</v>
      </c>
      <c r="AM390" t="s">
        <v>1133</v>
      </c>
      <c r="AN390" t="s">
        <v>1134</v>
      </c>
      <c r="AO390" t="s">
        <v>5490</v>
      </c>
      <c r="AP390" t="s">
        <v>74</v>
      </c>
      <c r="AQ390" t="s">
        <v>74</v>
      </c>
      <c r="AR390" t="s">
        <v>5491</v>
      </c>
      <c r="AS390" t="s">
        <v>5492</v>
      </c>
      <c r="AT390" t="s">
        <v>5493</v>
      </c>
      <c r="AU390">
        <v>2001</v>
      </c>
      <c r="AV390">
        <v>171</v>
      </c>
      <c r="AW390">
        <v>1</v>
      </c>
      <c r="AX390" t="s">
        <v>74</v>
      </c>
      <c r="AY390" t="s">
        <v>74</v>
      </c>
      <c r="AZ390" t="s">
        <v>74</v>
      </c>
      <c r="BA390" t="s">
        <v>74</v>
      </c>
      <c r="BB390">
        <v>182</v>
      </c>
      <c r="BC390">
        <v>200</v>
      </c>
      <c r="BD390" t="s">
        <v>74</v>
      </c>
      <c r="BE390" t="s">
        <v>5494</v>
      </c>
      <c r="BF390" t="str">
        <f>HYPERLINK("http://dx.doi.org/10.1006/jcph.2001.6781","http://dx.doi.org/10.1006/jcph.2001.6781")</f>
        <v>http://dx.doi.org/10.1006/jcph.2001.6781</v>
      </c>
      <c r="BG390" t="s">
        <v>74</v>
      </c>
      <c r="BH390" t="s">
        <v>74</v>
      </c>
      <c r="BI390">
        <v>19</v>
      </c>
      <c r="BJ390" t="s">
        <v>5495</v>
      </c>
      <c r="BK390" t="s">
        <v>88</v>
      </c>
      <c r="BL390" t="s">
        <v>5496</v>
      </c>
      <c r="BM390" t="s">
        <v>5497</v>
      </c>
      <c r="BN390" t="s">
        <v>74</v>
      </c>
      <c r="BO390" t="s">
        <v>74</v>
      </c>
      <c r="BP390" t="s">
        <v>74</v>
      </c>
      <c r="BQ390" t="s">
        <v>74</v>
      </c>
      <c r="BR390" t="s">
        <v>91</v>
      </c>
      <c r="BS390" t="s">
        <v>5498</v>
      </c>
      <c r="BT390" t="str">
        <f>HYPERLINK("https%3A%2F%2Fwww.webofscience.com%2Fwos%2Fwoscc%2Ffull-record%2FWOS:000170140500008","View Full Record in Web of Science")</f>
        <v>View Full Record in Web of Science</v>
      </c>
    </row>
    <row r="391" spans="1:72" x14ac:dyDescent="0.15">
      <c r="A391" t="s">
        <v>72</v>
      </c>
      <c r="B391" t="s">
        <v>5499</v>
      </c>
      <c r="C391" t="s">
        <v>74</v>
      </c>
      <c r="D391" t="s">
        <v>74</v>
      </c>
      <c r="E391" t="s">
        <v>74</v>
      </c>
      <c r="F391" t="s">
        <v>5499</v>
      </c>
      <c r="G391" t="s">
        <v>74</v>
      </c>
      <c r="H391" t="s">
        <v>74</v>
      </c>
      <c r="I391" t="s">
        <v>5500</v>
      </c>
      <c r="J391" t="s">
        <v>2922</v>
      </c>
      <c r="K391" t="s">
        <v>74</v>
      </c>
      <c r="L391" t="s">
        <v>74</v>
      </c>
      <c r="M391" t="s">
        <v>77</v>
      </c>
      <c r="N391" t="s">
        <v>120</v>
      </c>
      <c r="O391" t="s">
        <v>74</v>
      </c>
      <c r="P391" t="s">
        <v>74</v>
      </c>
      <c r="Q391" t="s">
        <v>74</v>
      </c>
      <c r="R391" t="s">
        <v>74</v>
      </c>
      <c r="S391" t="s">
        <v>74</v>
      </c>
      <c r="T391" t="s">
        <v>5501</v>
      </c>
      <c r="U391" t="s">
        <v>5502</v>
      </c>
      <c r="V391" t="s">
        <v>5503</v>
      </c>
      <c r="W391" t="s">
        <v>5504</v>
      </c>
      <c r="X391" t="s">
        <v>5505</v>
      </c>
      <c r="Y391" t="s">
        <v>5506</v>
      </c>
      <c r="Z391" t="s">
        <v>74</v>
      </c>
      <c r="AA391" t="s">
        <v>3854</v>
      </c>
      <c r="AB391" t="s">
        <v>5507</v>
      </c>
      <c r="AC391" t="s">
        <v>74</v>
      </c>
      <c r="AD391" t="s">
        <v>74</v>
      </c>
      <c r="AE391" t="s">
        <v>74</v>
      </c>
      <c r="AF391" t="s">
        <v>74</v>
      </c>
      <c r="AG391">
        <v>40</v>
      </c>
      <c r="AH391">
        <v>29</v>
      </c>
      <c r="AI391">
        <v>31</v>
      </c>
      <c r="AJ391">
        <v>0</v>
      </c>
      <c r="AK391">
        <v>9</v>
      </c>
      <c r="AL391" t="s">
        <v>2929</v>
      </c>
      <c r="AM391" t="s">
        <v>2930</v>
      </c>
      <c r="AN391" t="s">
        <v>2931</v>
      </c>
      <c r="AO391" t="s">
        <v>2932</v>
      </c>
      <c r="AP391" t="s">
        <v>74</v>
      </c>
      <c r="AQ391" t="s">
        <v>74</v>
      </c>
      <c r="AR391" t="s">
        <v>2933</v>
      </c>
      <c r="AS391" t="s">
        <v>2934</v>
      </c>
      <c r="AT391" t="s">
        <v>5508</v>
      </c>
      <c r="AU391">
        <v>2001</v>
      </c>
      <c r="AV391">
        <v>24</v>
      </c>
      <c r="AW391">
        <v>3</v>
      </c>
      <c r="AX391" t="s">
        <v>74</v>
      </c>
      <c r="AY391" t="s">
        <v>74</v>
      </c>
      <c r="AZ391" t="s">
        <v>74</v>
      </c>
      <c r="BA391" t="s">
        <v>74</v>
      </c>
      <c r="BB391">
        <v>265</v>
      </c>
      <c r="BC391">
        <v>274</v>
      </c>
      <c r="BD391" t="s">
        <v>74</v>
      </c>
      <c r="BE391" t="s">
        <v>5509</v>
      </c>
      <c r="BF391" t="str">
        <f>HYPERLINK("http://dx.doi.org/10.3354/ame024265","http://dx.doi.org/10.3354/ame024265")</f>
        <v>http://dx.doi.org/10.3354/ame024265</v>
      </c>
      <c r="BG391" t="s">
        <v>74</v>
      </c>
      <c r="BH391" t="s">
        <v>74</v>
      </c>
      <c r="BI391">
        <v>10</v>
      </c>
      <c r="BJ391" t="s">
        <v>2684</v>
      </c>
      <c r="BK391" t="s">
        <v>88</v>
      </c>
      <c r="BL391" t="s">
        <v>2685</v>
      </c>
      <c r="BM391" t="s">
        <v>5510</v>
      </c>
      <c r="BN391" t="s">
        <v>74</v>
      </c>
      <c r="BO391" t="s">
        <v>115</v>
      </c>
      <c r="BP391" t="s">
        <v>74</v>
      </c>
      <c r="BQ391" t="s">
        <v>74</v>
      </c>
      <c r="BR391" t="s">
        <v>91</v>
      </c>
      <c r="BS391" t="s">
        <v>5511</v>
      </c>
      <c r="BT391" t="str">
        <f>HYPERLINK("https%3A%2F%2Fwww.webofscience.com%2Fwos%2Fwoscc%2Ffull-record%2FWOS:000170206500005","View Full Record in Web of Science")</f>
        <v>View Full Record in Web of Science</v>
      </c>
    </row>
    <row r="392" spans="1:72" x14ac:dyDescent="0.15">
      <c r="A392" t="s">
        <v>72</v>
      </c>
      <c r="B392" t="s">
        <v>5512</v>
      </c>
      <c r="C392" t="s">
        <v>74</v>
      </c>
      <c r="D392" t="s">
        <v>74</v>
      </c>
      <c r="E392" t="s">
        <v>74</v>
      </c>
      <c r="F392" t="s">
        <v>5512</v>
      </c>
      <c r="G392" t="s">
        <v>74</v>
      </c>
      <c r="H392" t="s">
        <v>74</v>
      </c>
      <c r="I392" t="s">
        <v>5513</v>
      </c>
      <c r="J392" t="s">
        <v>522</v>
      </c>
      <c r="K392" t="s">
        <v>74</v>
      </c>
      <c r="L392" t="s">
        <v>74</v>
      </c>
      <c r="M392" t="s">
        <v>77</v>
      </c>
      <c r="N392" t="s">
        <v>120</v>
      </c>
      <c r="O392" t="s">
        <v>74</v>
      </c>
      <c r="P392" t="s">
        <v>74</v>
      </c>
      <c r="Q392" t="s">
        <v>74</v>
      </c>
      <c r="R392" t="s">
        <v>74</v>
      </c>
      <c r="S392" t="s">
        <v>74</v>
      </c>
      <c r="T392" t="s">
        <v>74</v>
      </c>
      <c r="U392" t="s">
        <v>5514</v>
      </c>
      <c r="V392" t="s">
        <v>5515</v>
      </c>
      <c r="W392" t="s">
        <v>5516</v>
      </c>
      <c r="X392" t="s">
        <v>5517</v>
      </c>
      <c r="Y392" t="s">
        <v>5518</v>
      </c>
      <c r="Z392" t="s">
        <v>74</v>
      </c>
      <c r="AA392" t="s">
        <v>5519</v>
      </c>
      <c r="AB392" t="s">
        <v>74</v>
      </c>
      <c r="AC392" t="s">
        <v>74</v>
      </c>
      <c r="AD392" t="s">
        <v>74</v>
      </c>
      <c r="AE392" t="s">
        <v>74</v>
      </c>
      <c r="AF392" t="s">
        <v>74</v>
      </c>
      <c r="AG392">
        <v>27</v>
      </c>
      <c r="AH392">
        <v>65</v>
      </c>
      <c r="AI392">
        <v>69</v>
      </c>
      <c r="AJ392">
        <v>0</v>
      </c>
      <c r="AK392">
        <v>13</v>
      </c>
      <c r="AL392" t="s">
        <v>149</v>
      </c>
      <c r="AM392" t="s">
        <v>150</v>
      </c>
      <c r="AN392" t="s">
        <v>151</v>
      </c>
      <c r="AO392" t="s">
        <v>4366</v>
      </c>
      <c r="AP392" t="s">
        <v>74</v>
      </c>
      <c r="AQ392" t="s">
        <v>74</v>
      </c>
      <c r="AR392" t="s">
        <v>533</v>
      </c>
      <c r="AS392" t="s">
        <v>534</v>
      </c>
      <c r="AT392" t="s">
        <v>5520</v>
      </c>
      <c r="AU392">
        <v>2001</v>
      </c>
      <c r="AV392">
        <v>106</v>
      </c>
      <c r="AW392" t="s">
        <v>5521</v>
      </c>
      <c r="AX392" t="s">
        <v>74</v>
      </c>
      <c r="AY392" t="s">
        <v>74</v>
      </c>
      <c r="AZ392" t="s">
        <v>74</v>
      </c>
      <c r="BA392" t="s">
        <v>74</v>
      </c>
      <c r="BB392">
        <v>14391</v>
      </c>
      <c r="BC392">
        <v>14408</v>
      </c>
      <c r="BD392" t="s">
        <v>74</v>
      </c>
      <c r="BE392" t="s">
        <v>5522</v>
      </c>
      <c r="BF392" t="str">
        <f>HYPERLINK("http://dx.doi.org/10.1029/2000JD900841","http://dx.doi.org/10.1029/2000JD900841")</f>
        <v>http://dx.doi.org/10.1029/2000JD900841</v>
      </c>
      <c r="BG392" t="s">
        <v>74</v>
      </c>
      <c r="BH392" t="s">
        <v>74</v>
      </c>
      <c r="BI392">
        <v>18</v>
      </c>
      <c r="BJ392" t="s">
        <v>538</v>
      </c>
      <c r="BK392" t="s">
        <v>88</v>
      </c>
      <c r="BL392" t="s">
        <v>538</v>
      </c>
      <c r="BM392" t="s">
        <v>5523</v>
      </c>
      <c r="BN392" t="s">
        <v>74</v>
      </c>
      <c r="BO392" t="s">
        <v>171</v>
      </c>
      <c r="BP392" t="s">
        <v>74</v>
      </c>
      <c r="BQ392" t="s">
        <v>74</v>
      </c>
      <c r="BR392" t="s">
        <v>91</v>
      </c>
      <c r="BS392" t="s">
        <v>5524</v>
      </c>
      <c r="BT392" t="str">
        <f>HYPERLINK("https%3A%2F%2Fwww.webofscience.com%2Fwos%2Fwoscc%2Ffull-record%2FWOS:000169903900016","View Full Record in Web of Science")</f>
        <v>View Full Record in Web of Science</v>
      </c>
    </row>
    <row r="393" spans="1:72" x14ac:dyDescent="0.15">
      <c r="A393" t="s">
        <v>72</v>
      </c>
      <c r="B393" t="s">
        <v>5525</v>
      </c>
      <c r="C393" t="s">
        <v>74</v>
      </c>
      <c r="D393" t="s">
        <v>74</v>
      </c>
      <c r="E393" t="s">
        <v>74</v>
      </c>
      <c r="F393" t="s">
        <v>5525</v>
      </c>
      <c r="G393" t="s">
        <v>74</v>
      </c>
      <c r="H393" t="s">
        <v>74</v>
      </c>
      <c r="I393" t="s">
        <v>5526</v>
      </c>
      <c r="J393" t="s">
        <v>522</v>
      </c>
      <c r="K393" t="s">
        <v>74</v>
      </c>
      <c r="L393" t="s">
        <v>74</v>
      </c>
      <c r="M393" t="s">
        <v>77</v>
      </c>
      <c r="N393" t="s">
        <v>120</v>
      </c>
      <c r="O393" t="s">
        <v>74</v>
      </c>
      <c r="P393" t="s">
        <v>74</v>
      </c>
      <c r="Q393" t="s">
        <v>74</v>
      </c>
      <c r="R393" t="s">
        <v>74</v>
      </c>
      <c r="S393" t="s">
        <v>74</v>
      </c>
      <c r="T393" t="s">
        <v>74</v>
      </c>
      <c r="U393" t="s">
        <v>5527</v>
      </c>
      <c r="V393" t="s">
        <v>5528</v>
      </c>
      <c r="W393" t="s">
        <v>5529</v>
      </c>
      <c r="X393" t="s">
        <v>5530</v>
      </c>
      <c r="Y393" t="s">
        <v>5531</v>
      </c>
      <c r="Z393" t="s">
        <v>5532</v>
      </c>
      <c r="AA393" t="s">
        <v>5533</v>
      </c>
      <c r="AB393" t="s">
        <v>5534</v>
      </c>
      <c r="AC393" t="s">
        <v>74</v>
      </c>
      <c r="AD393" t="s">
        <v>74</v>
      </c>
      <c r="AE393" t="s">
        <v>74</v>
      </c>
      <c r="AF393" t="s">
        <v>74</v>
      </c>
      <c r="AG393">
        <v>23</v>
      </c>
      <c r="AH393">
        <v>47</v>
      </c>
      <c r="AI393">
        <v>52</v>
      </c>
      <c r="AJ393">
        <v>0</v>
      </c>
      <c r="AK393">
        <v>15</v>
      </c>
      <c r="AL393" t="s">
        <v>149</v>
      </c>
      <c r="AM393" t="s">
        <v>150</v>
      </c>
      <c r="AN393" t="s">
        <v>151</v>
      </c>
      <c r="AO393" t="s">
        <v>531</v>
      </c>
      <c r="AP393" t="s">
        <v>532</v>
      </c>
      <c r="AQ393" t="s">
        <v>74</v>
      </c>
      <c r="AR393" t="s">
        <v>533</v>
      </c>
      <c r="AS393" t="s">
        <v>534</v>
      </c>
      <c r="AT393" t="s">
        <v>5520</v>
      </c>
      <c r="AU393">
        <v>2001</v>
      </c>
      <c r="AV393">
        <v>106</v>
      </c>
      <c r="AW393" t="s">
        <v>5521</v>
      </c>
      <c r="AX393" t="s">
        <v>74</v>
      </c>
      <c r="AY393" t="s">
        <v>74</v>
      </c>
      <c r="AZ393" t="s">
        <v>74</v>
      </c>
      <c r="BA393" t="s">
        <v>74</v>
      </c>
      <c r="BB393">
        <v>14409</v>
      </c>
      <c r="BC393">
        <v>14422</v>
      </c>
      <c r="BD393" t="s">
        <v>74</v>
      </c>
      <c r="BE393" t="s">
        <v>5535</v>
      </c>
      <c r="BF393" t="str">
        <f>HYPERLINK("http://dx.doi.org/10.1029/2000JD900840","http://dx.doi.org/10.1029/2000JD900840")</f>
        <v>http://dx.doi.org/10.1029/2000JD900840</v>
      </c>
      <c r="BG393" t="s">
        <v>74</v>
      </c>
      <c r="BH393" t="s">
        <v>74</v>
      </c>
      <c r="BI393">
        <v>14</v>
      </c>
      <c r="BJ393" t="s">
        <v>538</v>
      </c>
      <c r="BK393" t="s">
        <v>88</v>
      </c>
      <c r="BL393" t="s">
        <v>538</v>
      </c>
      <c r="BM393" t="s">
        <v>5523</v>
      </c>
      <c r="BN393" t="s">
        <v>74</v>
      </c>
      <c r="BO393" t="s">
        <v>761</v>
      </c>
      <c r="BP393" t="s">
        <v>74</v>
      </c>
      <c r="BQ393" t="s">
        <v>74</v>
      </c>
      <c r="BR393" t="s">
        <v>91</v>
      </c>
      <c r="BS393" t="s">
        <v>5536</v>
      </c>
      <c r="BT393" t="str">
        <f>HYPERLINK("https%3A%2F%2Fwww.webofscience.com%2Fwos%2Fwoscc%2Ffull-record%2FWOS:000169903900017","View Full Record in Web of Science")</f>
        <v>View Full Record in Web of Science</v>
      </c>
    </row>
    <row r="394" spans="1:72" x14ac:dyDescent="0.15">
      <c r="A394" t="s">
        <v>72</v>
      </c>
      <c r="B394" t="s">
        <v>5537</v>
      </c>
      <c r="C394" t="s">
        <v>74</v>
      </c>
      <c r="D394" t="s">
        <v>74</v>
      </c>
      <c r="E394" t="s">
        <v>74</v>
      </c>
      <c r="F394" t="s">
        <v>5537</v>
      </c>
      <c r="G394" t="s">
        <v>74</v>
      </c>
      <c r="H394" t="s">
        <v>74</v>
      </c>
      <c r="I394" t="s">
        <v>5538</v>
      </c>
      <c r="J394" t="s">
        <v>613</v>
      </c>
      <c r="K394" t="s">
        <v>74</v>
      </c>
      <c r="L394" t="s">
        <v>74</v>
      </c>
      <c r="M394" t="s">
        <v>77</v>
      </c>
      <c r="N394" t="s">
        <v>120</v>
      </c>
      <c r="O394" t="s">
        <v>74</v>
      </c>
      <c r="P394" t="s">
        <v>74</v>
      </c>
      <c r="Q394" t="s">
        <v>74</v>
      </c>
      <c r="R394" t="s">
        <v>74</v>
      </c>
      <c r="S394" t="s">
        <v>74</v>
      </c>
      <c r="T394" t="s">
        <v>74</v>
      </c>
      <c r="U394" t="s">
        <v>5539</v>
      </c>
      <c r="V394" t="s">
        <v>5540</v>
      </c>
      <c r="W394" t="s">
        <v>5541</v>
      </c>
      <c r="X394" t="s">
        <v>1917</v>
      </c>
      <c r="Y394" t="s">
        <v>5542</v>
      </c>
      <c r="Z394" t="s">
        <v>74</v>
      </c>
      <c r="AA394" t="s">
        <v>1920</v>
      </c>
      <c r="AB394" t="s">
        <v>5543</v>
      </c>
      <c r="AC394" t="s">
        <v>74</v>
      </c>
      <c r="AD394" t="s">
        <v>74</v>
      </c>
      <c r="AE394" t="s">
        <v>74</v>
      </c>
      <c r="AF394" t="s">
        <v>74</v>
      </c>
      <c r="AG394">
        <v>10</v>
      </c>
      <c r="AH394">
        <v>22</v>
      </c>
      <c r="AI394">
        <v>22</v>
      </c>
      <c r="AJ394">
        <v>1</v>
      </c>
      <c r="AK394">
        <v>10</v>
      </c>
      <c r="AL394" t="s">
        <v>149</v>
      </c>
      <c r="AM394" t="s">
        <v>150</v>
      </c>
      <c r="AN394" t="s">
        <v>151</v>
      </c>
      <c r="AO394" t="s">
        <v>619</v>
      </c>
      <c r="AP394" t="s">
        <v>74</v>
      </c>
      <c r="AQ394" t="s">
        <v>74</v>
      </c>
      <c r="AR394" t="s">
        <v>620</v>
      </c>
      <c r="AS394" t="s">
        <v>621</v>
      </c>
      <c r="AT394" t="s">
        <v>5544</v>
      </c>
      <c r="AU394">
        <v>2001</v>
      </c>
      <c r="AV394">
        <v>28</v>
      </c>
      <c r="AW394">
        <v>14</v>
      </c>
      <c r="AX394" t="s">
        <v>74</v>
      </c>
      <c r="AY394" t="s">
        <v>74</v>
      </c>
      <c r="AZ394" t="s">
        <v>74</v>
      </c>
      <c r="BA394" t="s">
        <v>74</v>
      </c>
      <c r="BB394">
        <v>2819</v>
      </c>
      <c r="BC394">
        <v>2822</v>
      </c>
      <c r="BD394" t="s">
        <v>74</v>
      </c>
      <c r="BE394" t="s">
        <v>5545</v>
      </c>
      <c r="BF394" t="str">
        <f>HYPERLINK("http://dx.doi.org/10.1029/2000GL012472","http://dx.doi.org/10.1029/2000GL012472")</f>
        <v>http://dx.doi.org/10.1029/2000GL012472</v>
      </c>
      <c r="BG394" t="s">
        <v>74</v>
      </c>
      <c r="BH394" t="s">
        <v>74</v>
      </c>
      <c r="BI394">
        <v>4</v>
      </c>
      <c r="BJ394" t="s">
        <v>300</v>
      </c>
      <c r="BK394" t="s">
        <v>88</v>
      </c>
      <c r="BL394" t="s">
        <v>113</v>
      </c>
      <c r="BM394" t="s">
        <v>5546</v>
      </c>
      <c r="BN394" t="s">
        <v>74</v>
      </c>
      <c r="BO394" t="s">
        <v>171</v>
      </c>
      <c r="BP394" t="s">
        <v>74</v>
      </c>
      <c r="BQ394" t="s">
        <v>74</v>
      </c>
      <c r="BR394" t="s">
        <v>91</v>
      </c>
      <c r="BS394" t="s">
        <v>5547</v>
      </c>
      <c r="BT394" t="str">
        <f>HYPERLINK("https%3A%2F%2Fwww.webofscience.com%2Fwos%2Fwoscc%2Ffull-record%2FWOS:000169849500038","View Full Record in Web of Science")</f>
        <v>View Full Record in Web of Science</v>
      </c>
    </row>
    <row r="395" spans="1:72" x14ac:dyDescent="0.15">
      <c r="A395" t="s">
        <v>72</v>
      </c>
      <c r="B395" t="s">
        <v>5548</v>
      </c>
      <c r="C395" t="s">
        <v>74</v>
      </c>
      <c r="D395" t="s">
        <v>74</v>
      </c>
      <c r="E395" t="s">
        <v>74</v>
      </c>
      <c r="F395" t="s">
        <v>5548</v>
      </c>
      <c r="G395" t="s">
        <v>74</v>
      </c>
      <c r="H395" t="s">
        <v>74</v>
      </c>
      <c r="I395" t="s">
        <v>5549</v>
      </c>
      <c r="J395" t="s">
        <v>5550</v>
      </c>
      <c r="K395" t="s">
        <v>74</v>
      </c>
      <c r="L395" t="s">
        <v>74</v>
      </c>
      <c r="M395" t="s">
        <v>77</v>
      </c>
      <c r="N395" t="s">
        <v>435</v>
      </c>
      <c r="O395" t="s">
        <v>5551</v>
      </c>
      <c r="P395" t="s">
        <v>5552</v>
      </c>
      <c r="Q395" t="s">
        <v>5553</v>
      </c>
      <c r="R395" t="s">
        <v>74</v>
      </c>
      <c r="S395" t="s">
        <v>74</v>
      </c>
      <c r="T395" t="s">
        <v>5554</v>
      </c>
      <c r="U395" t="s">
        <v>5555</v>
      </c>
      <c r="V395" t="s">
        <v>5556</v>
      </c>
      <c r="W395" t="s">
        <v>5557</v>
      </c>
      <c r="X395" t="s">
        <v>5558</v>
      </c>
      <c r="Y395" t="s">
        <v>5559</v>
      </c>
      <c r="Z395" t="s">
        <v>74</v>
      </c>
      <c r="AA395" t="s">
        <v>74</v>
      </c>
      <c r="AB395" t="s">
        <v>74</v>
      </c>
      <c r="AC395" t="s">
        <v>74</v>
      </c>
      <c r="AD395" t="s">
        <v>74</v>
      </c>
      <c r="AE395" t="s">
        <v>74</v>
      </c>
      <c r="AF395" t="s">
        <v>74</v>
      </c>
      <c r="AG395">
        <v>34</v>
      </c>
      <c r="AH395">
        <v>18</v>
      </c>
      <c r="AI395">
        <v>20</v>
      </c>
      <c r="AJ395">
        <v>0</v>
      </c>
      <c r="AK395">
        <v>0</v>
      </c>
      <c r="AL395" t="s">
        <v>2223</v>
      </c>
      <c r="AM395" t="s">
        <v>2224</v>
      </c>
      <c r="AN395" t="s">
        <v>5560</v>
      </c>
      <c r="AO395" t="s">
        <v>5561</v>
      </c>
      <c r="AP395" t="s">
        <v>74</v>
      </c>
      <c r="AQ395" t="s">
        <v>74</v>
      </c>
      <c r="AR395" t="s">
        <v>5550</v>
      </c>
      <c r="AS395" t="s">
        <v>5562</v>
      </c>
      <c r="AT395" t="s">
        <v>5544</v>
      </c>
      <c r="AU395">
        <v>2001</v>
      </c>
      <c r="AV395">
        <v>456</v>
      </c>
      <c r="AW395" t="s">
        <v>74</v>
      </c>
      <c r="AX395" t="s">
        <v>74</v>
      </c>
      <c r="AY395" t="s">
        <v>74</v>
      </c>
      <c r="AZ395" t="s">
        <v>74</v>
      </c>
      <c r="BA395" t="s">
        <v>74</v>
      </c>
      <c r="BB395">
        <v>87</v>
      </c>
      <c r="BC395">
        <v>110</v>
      </c>
      <c r="BD395" t="s">
        <v>74</v>
      </c>
      <c r="BE395" t="s">
        <v>5563</v>
      </c>
      <c r="BF395" t="str">
        <f>HYPERLINK("http://dx.doi.org/10.1023/A:1013031900458","http://dx.doi.org/10.1023/A:1013031900458")</f>
        <v>http://dx.doi.org/10.1023/A:1013031900458</v>
      </c>
      <c r="BG395" t="s">
        <v>74</v>
      </c>
      <c r="BH395" t="s">
        <v>74</v>
      </c>
      <c r="BI395">
        <v>24</v>
      </c>
      <c r="BJ395" t="s">
        <v>323</v>
      </c>
      <c r="BK395" t="s">
        <v>453</v>
      </c>
      <c r="BL395" t="s">
        <v>323</v>
      </c>
      <c r="BM395" t="s">
        <v>5564</v>
      </c>
      <c r="BN395" t="s">
        <v>74</v>
      </c>
      <c r="BO395" t="s">
        <v>74</v>
      </c>
      <c r="BP395" t="s">
        <v>74</v>
      </c>
      <c r="BQ395" t="s">
        <v>74</v>
      </c>
      <c r="BR395" t="s">
        <v>91</v>
      </c>
      <c r="BS395" t="s">
        <v>5565</v>
      </c>
      <c r="BT395" t="str">
        <f>HYPERLINK("https%3A%2F%2Fwww.webofscience.com%2Fwos%2Fwoscc%2Ffull-record%2FWOS:000173247500010","View Full Record in Web of Science")</f>
        <v>View Full Record in Web of Science</v>
      </c>
    </row>
    <row r="396" spans="1:72" x14ac:dyDescent="0.15">
      <c r="A396" t="s">
        <v>72</v>
      </c>
      <c r="B396" t="s">
        <v>5566</v>
      </c>
      <c r="C396" t="s">
        <v>74</v>
      </c>
      <c r="D396" t="s">
        <v>74</v>
      </c>
      <c r="E396" t="s">
        <v>74</v>
      </c>
      <c r="F396" t="s">
        <v>5566</v>
      </c>
      <c r="G396" t="s">
        <v>74</v>
      </c>
      <c r="H396" t="s">
        <v>74</v>
      </c>
      <c r="I396" t="s">
        <v>5567</v>
      </c>
      <c r="J396" t="s">
        <v>5568</v>
      </c>
      <c r="K396" t="s">
        <v>74</v>
      </c>
      <c r="L396" t="s">
        <v>74</v>
      </c>
      <c r="M396" t="s">
        <v>77</v>
      </c>
      <c r="N396" t="s">
        <v>120</v>
      </c>
      <c r="O396" t="s">
        <v>74</v>
      </c>
      <c r="P396" t="s">
        <v>74</v>
      </c>
      <c r="Q396" t="s">
        <v>74</v>
      </c>
      <c r="R396" t="s">
        <v>74</v>
      </c>
      <c r="S396" t="s">
        <v>74</v>
      </c>
      <c r="T396" t="s">
        <v>74</v>
      </c>
      <c r="U396" t="s">
        <v>5569</v>
      </c>
      <c r="V396" t="s">
        <v>5570</v>
      </c>
      <c r="W396" t="s">
        <v>5571</v>
      </c>
      <c r="X396" t="s">
        <v>5572</v>
      </c>
      <c r="Y396" t="s">
        <v>5573</v>
      </c>
      <c r="Z396" t="s">
        <v>74</v>
      </c>
      <c r="AA396" t="s">
        <v>74</v>
      </c>
      <c r="AB396" t="s">
        <v>74</v>
      </c>
      <c r="AC396" t="s">
        <v>74</v>
      </c>
      <c r="AD396" t="s">
        <v>74</v>
      </c>
      <c r="AE396" t="s">
        <v>74</v>
      </c>
      <c r="AF396" t="s">
        <v>74</v>
      </c>
      <c r="AG396">
        <v>28</v>
      </c>
      <c r="AH396">
        <v>110</v>
      </c>
      <c r="AI396">
        <v>123</v>
      </c>
      <c r="AJ396">
        <v>3</v>
      </c>
      <c r="AK396">
        <v>26</v>
      </c>
      <c r="AL396" t="s">
        <v>3914</v>
      </c>
      <c r="AM396" t="s">
        <v>3915</v>
      </c>
      <c r="AN396" t="s">
        <v>3916</v>
      </c>
      <c r="AO396" t="s">
        <v>5574</v>
      </c>
      <c r="AP396" t="s">
        <v>74</v>
      </c>
      <c r="AQ396" t="s">
        <v>74</v>
      </c>
      <c r="AR396" t="s">
        <v>5575</v>
      </c>
      <c r="AS396" t="s">
        <v>5576</v>
      </c>
      <c r="AT396" t="s">
        <v>5544</v>
      </c>
      <c r="AU396">
        <v>2001</v>
      </c>
      <c r="AV396">
        <v>14</v>
      </c>
      <c r="AW396">
        <v>14</v>
      </c>
      <c r="AX396" t="s">
        <v>74</v>
      </c>
      <c r="AY396" t="s">
        <v>74</v>
      </c>
      <c r="AZ396" t="s">
        <v>74</v>
      </c>
      <c r="BA396" t="s">
        <v>74</v>
      </c>
      <c r="BB396">
        <v>3117</v>
      </c>
      <c r="BC396">
        <v>3139</v>
      </c>
      <c r="BD396" t="s">
        <v>74</v>
      </c>
      <c r="BE396" t="s">
        <v>5577</v>
      </c>
      <c r="BF396" t="str">
        <f>HYPERLINK("http://dx.doi.org/10.1175/1520-0442(2001)014&lt;3117:TTITPR&gt;2.0.CO;2","http://dx.doi.org/10.1175/1520-0442(2001)014&lt;3117:TTITPR&gt;2.0.CO;2")</f>
        <v>http://dx.doi.org/10.1175/1520-0442(2001)014&lt;3117:TTITPR&gt;2.0.CO;2</v>
      </c>
      <c r="BG396" t="s">
        <v>74</v>
      </c>
      <c r="BH396" t="s">
        <v>74</v>
      </c>
      <c r="BI396">
        <v>23</v>
      </c>
      <c r="BJ396" t="s">
        <v>538</v>
      </c>
      <c r="BK396" t="s">
        <v>88</v>
      </c>
      <c r="BL396" t="s">
        <v>538</v>
      </c>
      <c r="BM396" t="s">
        <v>5578</v>
      </c>
      <c r="BN396" t="s">
        <v>74</v>
      </c>
      <c r="BO396" t="s">
        <v>359</v>
      </c>
      <c r="BP396" t="s">
        <v>74</v>
      </c>
      <c r="BQ396" t="s">
        <v>74</v>
      </c>
      <c r="BR396" t="s">
        <v>91</v>
      </c>
      <c r="BS396" t="s">
        <v>5579</v>
      </c>
      <c r="BT396" t="str">
        <f>HYPERLINK("https%3A%2F%2Fwww.webofscience.com%2Fwos%2Fwoscc%2Ffull-record%2FWOS:000170065800004","View Full Record in Web of Science")</f>
        <v>View Full Record in Web of Science</v>
      </c>
    </row>
    <row r="397" spans="1:72" x14ac:dyDescent="0.15">
      <c r="A397" t="s">
        <v>72</v>
      </c>
      <c r="B397" t="s">
        <v>5580</v>
      </c>
      <c r="C397" t="s">
        <v>74</v>
      </c>
      <c r="D397" t="s">
        <v>74</v>
      </c>
      <c r="E397" t="s">
        <v>74</v>
      </c>
      <c r="F397" t="s">
        <v>5580</v>
      </c>
      <c r="G397" t="s">
        <v>74</v>
      </c>
      <c r="H397" t="s">
        <v>74</v>
      </c>
      <c r="I397" t="s">
        <v>5581</v>
      </c>
      <c r="J397" t="s">
        <v>638</v>
      </c>
      <c r="K397" t="s">
        <v>74</v>
      </c>
      <c r="L397" t="s">
        <v>74</v>
      </c>
      <c r="M397" t="s">
        <v>77</v>
      </c>
      <c r="N397" t="s">
        <v>120</v>
      </c>
      <c r="O397" t="s">
        <v>74</v>
      </c>
      <c r="P397" t="s">
        <v>74</v>
      </c>
      <c r="Q397" t="s">
        <v>74</v>
      </c>
      <c r="R397" t="s">
        <v>74</v>
      </c>
      <c r="S397" t="s">
        <v>74</v>
      </c>
      <c r="T397" t="s">
        <v>5582</v>
      </c>
      <c r="U397" t="s">
        <v>5583</v>
      </c>
      <c r="V397" t="s">
        <v>5584</v>
      </c>
      <c r="W397" t="s">
        <v>5585</v>
      </c>
      <c r="X397" t="s">
        <v>5586</v>
      </c>
      <c r="Y397" t="s">
        <v>5587</v>
      </c>
      <c r="Z397" t="s">
        <v>5588</v>
      </c>
      <c r="AA397" t="s">
        <v>74</v>
      </c>
      <c r="AB397" t="s">
        <v>74</v>
      </c>
      <c r="AC397" t="s">
        <v>74</v>
      </c>
      <c r="AD397" t="s">
        <v>74</v>
      </c>
      <c r="AE397" t="s">
        <v>74</v>
      </c>
      <c r="AF397" t="s">
        <v>74</v>
      </c>
      <c r="AG397">
        <v>52</v>
      </c>
      <c r="AH397">
        <v>36</v>
      </c>
      <c r="AI397">
        <v>41</v>
      </c>
      <c r="AJ397">
        <v>0</v>
      </c>
      <c r="AK397">
        <v>15</v>
      </c>
      <c r="AL397" t="s">
        <v>349</v>
      </c>
      <c r="AM397" t="s">
        <v>350</v>
      </c>
      <c r="AN397" t="s">
        <v>351</v>
      </c>
      <c r="AO397" t="s">
        <v>646</v>
      </c>
      <c r="AP397" t="s">
        <v>647</v>
      </c>
      <c r="AQ397" t="s">
        <v>74</v>
      </c>
      <c r="AR397" t="s">
        <v>648</v>
      </c>
      <c r="AS397" t="s">
        <v>649</v>
      </c>
      <c r="AT397" t="s">
        <v>5544</v>
      </c>
      <c r="AU397">
        <v>2001</v>
      </c>
      <c r="AV397">
        <v>262</v>
      </c>
      <c r="AW397">
        <v>1</v>
      </c>
      <c r="AX397" t="s">
        <v>74</v>
      </c>
      <c r="AY397" t="s">
        <v>74</v>
      </c>
      <c r="AZ397" t="s">
        <v>74</v>
      </c>
      <c r="BA397" t="s">
        <v>74</v>
      </c>
      <c r="BB397">
        <v>113</v>
      </c>
      <c r="BC397">
        <v>129</v>
      </c>
      <c r="BD397" t="s">
        <v>74</v>
      </c>
      <c r="BE397" t="s">
        <v>5589</v>
      </c>
      <c r="BF397" t="str">
        <f>HYPERLINK("http://dx.doi.org/10.1016/S0022-0981(01)00286-6","http://dx.doi.org/10.1016/S0022-0981(01)00286-6")</f>
        <v>http://dx.doi.org/10.1016/S0022-0981(01)00286-6</v>
      </c>
      <c r="BG397" t="s">
        <v>74</v>
      </c>
      <c r="BH397" t="s">
        <v>74</v>
      </c>
      <c r="BI397">
        <v>17</v>
      </c>
      <c r="BJ397" t="s">
        <v>429</v>
      </c>
      <c r="BK397" t="s">
        <v>88</v>
      </c>
      <c r="BL397" t="s">
        <v>89</v>
      </c>
      <c r="BM397" t="s">
        <v>5590</v>
      </c>
      <c r="BN397" t="s">
        <v>74</v>
      </c>
      <c r="BO397" t="s">
        <v>74</v>
      </c>
      <c r="BP397" t="s">
        <v>74</v>
      </c>
      <c r="BQ397" t="s">
        <v>74</v>
      </c>
      <c r="BR397" t="s">
        <v>91</v>
      </c>
      <c r="BS397" t="s">
        <v>5591</v>
      </c>
      <c r="BT397" t="str">
        <f>HYPERLINK("https%3A%2F%2Fwww.webofscience.com%2Fwos%2Fwoscc%2Ffull-record%2FWOS:000169708900008","View Full Record in Web of Science")</f>
        <v>View Full Record in Web of Science</v>
      </c>
    </row>
    <row r="398" spans="1:72" x14ac:dyDescent="0.15">
      <c r="A398" t="s">
        <v>72</v>
      </c>
      <c r="B398" t="s">
        <v>5592</v>
      </c>
      <c r="C398" t="s">
        <v>74</v>
      </c>
      <c r="D398" t="s">
        <v>74</v>
      </c>
      <c r="E398" t="s">
        <v>74</v>
      </c>
      <c r="F398" t="s">
        <v>5592</v>
      </c>
      <c r="G398" t="s">
        <v>74</v>
      </c>
      <c r="H398" t="s">
        <v>74</v>
      </c>
      <c r="I398" t="s">
        <v>5593</v>
      </c>
      <c r="J398" t="s">
        <v>655</v>
      </c>
      <c r="K398" t="s">
        <v>74</v>
      </c>
      <c r="L398" t="s">
        <v>74</v>
      </c>
      <c r="M398" t="s">
        <v>77</v>
      </c>
      <c r="N398" t="s">
        <v>120</v>
      </c>
      <c r="O398" t="s">
        <v>74</v>
      </c>
      <c r="P398" t="s">
        <v>74</v>
      </c>
      <c r="Q398" t="s">
        <v>74</v>
      </c>
      <c r="R398" t="s">
        <v>74</v>
      </c>
      <c r="S398" t="s">
        <v>74</v>
      </c>
      <c r="T398" t="s">
        <v>74</v>
      </c>
      <c r="U398" t="s">
        <v>5594</v>
      </c>
      <c r="V398" t="s">
        <v>5595</v>
      </c>
      <c r="W398" t="s">
        <v>5596</v>
      </c>
      <c r="X398" t="s">
        <v>5597</v>
      </c>
      <c r="Y398" t="s">
        <v>5598</v>
      </c>
      <c r="Z398" t="s">
        <v>5599</v>
      </c>
      <c r="AA398" t="s">
        <v>74</v>
      </c>
      <c r="AB398" t="s">
        <v>74</v>
      </c>
      <c r="AC398" t="s">
        <v>74</v>
      </c>
      <c r="AD398" t="s">
        <v>74</v>
      </c>
      <c r="AE398" t="s">
        <v>74</v>
      </c>
      <c r="AF398" t="s">
        <v>74</v>
      </c>
      <c r="AG398">
        <v>45</v>
      </c>
      <c r="AH398">
        <v>34</v>
      </c>
      <c r="AI398">
        <v>37</v>
      </c>
      <c r="AJ398">
        <v>0</v>
      </c>
      <c r="AK398">
        <v>4</v>
      </c>
      <c r="AL398" t="s">
        <v>149</v>
      </c>
      <c r="AM398" t="s">
        <v>150</v>
      </c>
      <c r="AN398" t="s">
        <v>151</v>
      </c>
      <c r="AO398" t="s">
        <v>662</v>
      </c>
      <c r="AP398" t="s">
        <v>663</v>
      </c>
      <c r="AQ398" t="s">
        <v>74</v>
      </c>
      <c r="AR398" t="s">
        <v>664</v>
      </c>
      <c r="AS398" t="s">
        <v>665</v>
      </c>
      <c r="AT398" t="s">
        <v>5544</v>
      </c>
      <c r="AU398">
        <v>2001</v>
      </c>
      <c r="AV398">
        <v>106</v>
      </c>
      <c r="AW398" t="s">
        <v>5600</v>
      </c>
      <c r="AX398" t="s">
        <v>74</v>
      </c>
      <c r="AY398" t="s">
        <v>74</v>
      </c>
      <c r="AZ398" t="s">
        <v>74</v>
      </c>
      <c r="BA398" t="s">
        <v>74</v>
      </c>
      <c r="BB398">
        <v>13879</v>
      </c>
      <c r="BC398">
        <v>13902</v>
      </c>
      <c r="BD398" t="s">
        <v>74</v>
      </c>
      <c r="BE398" t="s">
        <v>5601</v>
      </c>
      <c r="BF398" t="str">
        <f>HYPERLINK("http://dx.doi.org/10.1029/1999JC000194","http://dx.doi.org/10.1029/1999JC000194")</f>
        <v>http://dx.doi.org/10.1029/1999JC000194</v>
      </c>
      <c r="BG398" t="s">
        <v>74</v>
      </c>
      <c r="BH398" t="s">
        <v>74</v>
      </c>
      <c r="BI398">
        <v>24</v>
      </c>
      <c r="BJ398" t="s">
        <v>668</v>
      </c>
      <c r="BK398" t="s">
        <v>88</v>
      </c>
      <c r="BL398" t="s">
        <v>668</v>
      </c>
      <c r="BM398" t="s">
        <v>5602</v>
      </c>
      <c r="BN398" t="s">
        <v>74</v>
      </c>
      <c r="BO398" t="s">
        <v>171</v>
      </c>
      <c r="BP398" t="s">
        <v>74</v>
      </c>
      <c r="BQ398" t="s">
        <v>74</v>
      </c>
      <c r="BR398" t="s">
        <v>91</v>
      </c>
      <c r="BS398" t="s">
        <v>5603</v>
      </c>
      <c r="BT398" t="str">
        <f>HYPERLINK("https%3A%2F%2Fwww.webofscience.com%2Fwos%2Fwoscc%2Ffull-record%2FWOS:000169871100005","View Full Record in Web of Science")</f>
        <v>View Full Record in Web of Science</v>
      </c>
    </row>
    <row r="399" spans="1:72" x14ac:dyDescent="0.15">
      <c r="A399" t="s">
        <v>72</v>
      </c>
      <c r="B399" t="s">
        <v>5604</v>
      </c>
      <c r="C399" t="s">
        <v>74</v>
      </c>
      <c r="D399" t="s">
        <v>74</v>
      </c>
      <c r="E399" t="s">
        <v>74</v>
      </c>
      <c r="F399" t="s">
        <v>5604</v>
      </c>
      <c r="G399" t="s">
        <v>74</v>
      </c>
      <c r="H399" t="s">
        <v>74</v>
      </c>
      <c r="I399" t="s">
        <v>5605</v>
      </c>
      <c r="J399" t="s">
        <v>655</v>
      </c>
      <c r="K399" t="s">
        <v>74</v>
      </c>
      <c r="L399" t="s">
        <v>74</v>
      </c>
      <c r="M399" t="s">
        <v>77</v>
      </c>
      <c r="N399" t="s">
        <v>120</v>
      </c>
      <c r="O399" t="s">
        <v>74</v>
      </c>
      <c r="P399" t="s">
        <v>74</v>
      </c>
      <c r="Q399" t="s">
        <v>74</v>
      </c>
      <c r="R399" t="s">
        <v>74</v>
      </c>
      <c r="S399" t="s">
        <v>74</v>
      </c>
      <c r="T399" t="s">
        <v>74</v>
      </c>
      <c r="U399" t="s">
        <v>5606</v>
      </c>
      <c r="V399" t="s">
        <v>5607</v>
      </c>
      <c r="W399" t="s">
        <v>5608</v>
      </c>
      <c r="X399" t="s">
        <v>5609</v>
      </c>
      <c r="Y399" t="s">
        <v>5610</v>
      </c>
      <c r="Z399" t="s">
        <v>5611</v>
      </c>
      <c r="AA399" t="s">
        <v>5612</v>
      </c>
      <c r="AB399" t="s">
        <v>5613</v>
      </c>
      <c r="AC399" t="s">
        <v>74</v>
      </c>
      <c r="AD399" t="s">
        <v>74</v>
      </c>
      <c r="AE399" t="s">
        <v>74</v>
      </c>
      <c r="AF399" t="s">
        <v>74</v>
      </c>
      <c r="AG399">
        <v>47</v>
      </c>
      <c r="AH399">
        <v>24</v>
      </c>
      <c r="AI399">
        <v>27</v>
      </c>
      <c r="AJ399">
        <v>0</v>
      </c>
      <c r="AK399">
        <v>11</v>
      </c>
      <c r="AL399" t="s">
        <v>149</v>
      </c>
      <c r="AM399" t="s">
        <v>150</v>
      </c>
      <c r="AN399" t="s">
        <v>151</v>
      </c>
      <c r="AO399" t="s">
        <v>662</v>
      </c>
      <c r="AP399" t="s">
        <v>663</v>
      </c>
      <c r="AQ399" t="s">
        <v>74</v>
      </c>
      <c r="AR399" t="s">
        <v>664</v>
      </c>
      <c r="AS399" t="s">
        <v>665</v>
      </c>
      <c r="AT399" t="s">
        <v>5544</v>
      </c>
      <c r="AU399">
        <v>2001</v>
      </c>
      <c r="AV399">
        <v>106</v>
      </c>
      <c r="AW399" t="s">
        <v>5600</v>
      </c>
      <c r="AX399" t="s">
        <v>74</v>
      </c>
      <c r="AY399" t="s">
        <v>74</v>
      </c>
      <c r="AZ399" t="s">
        <v>74</v>
      </c>
      <c r="BA399" t="s">
        <v>74</v>
      </c>
      <c r="BB399">
        <v>13903</v>
      </c>
      <c r="BC399">
        <v>13915</v>
      </c>
      <c r="BD399" t="s">
        <v>74</v>
      </c>
      <c r="BE399" t="s">
        <v>5614</v>
      </c>
      <c r="BF399" t="str">
        <f>HYPERLINK("http://dx.doi.org/10.1029/1999JC000187","http://dx.doi.org/10.1029/1999JC000187")</f>
        <v>http://dx.doi.org/10.1029/1999JC000187</v>
      </c>
      <c r="BG399" t="s">
        <v>74</v>
      </c>
      <c r="BH399" t="s">
        <v>74</v>
      </c>
      <c r="BI399">
        <v>13</v>
      </c>
      <c r="BJ399" t="s">
        <v>668</v>
      </c>
      <c r="BK399" t="s">
        <v>88</v>
      </c>
      <c r="BL399" t="s">
        <v>668</v>
      </c>
      <c r="BM399" t="s">
        <v>5602</v>
      </c>
      <c r="BN399" t="s">
        <v>74</v>
      </c>
      <c r="BO399" t="s">
        <v>171</v>
      </c>
      <c r="BP399" t="s">
        <v>74</v>
      </c>
      <c r="BQ399" t="s">
        <v>74</v>
      </c>
      <c r="BR399" t="s">
        <v>91</v>
      </c>
      <c r="BS399" t="s">
        <v>5615</v>
      </c>
      <c r="BT399" t="str">
        <f>HYPERLINK("https%3A%2F%2Fwww.webofscience.com%2Fwos%2Fwoscc%2Ffull-record%2FWOS:000169871100006","View Full Record in Web of Science")</f>
        <v>View Full Record in Web of Science</v>
      </c>
    </row>
    <row r="400" spans="1:72" x14ac:dyDescent="0.15">
      <c r="A400" t="s">
        <v>72</v>
      </c>
      <c r="B400" t="s">
        <v>5616</v>
      </c>
      <c r="C400" t="s">
        <v>74</v>
      </c>
      <c r="D400" t="s">
        <v>74</v>
      </c>
      <c r="E400" t="s">
        <v>74</v>
      </c>
      <c r="F400" t="s">
        <v>5616</v>
      </c>
      <c r="G400" t="s">
        <v>74</v>
      </c>
      <c r="H400" t="s">
        <v>74</v>
      </c>
      <c r="I400" t="s">
        <v>5617</v>
      </c>
      <c r="J400" t="s">
        <v>655</v>
      </c>
      <c r="K400" t="s">
        <v>74</v>
      </c>
      <c r="L400" t="s">
        <v>74</v>
      </c>
      <c r="M400" t="s">
        <v>77</v>
      </c>
      <c r="N400" t="s">
        <v>120</v>
      </c>
      <c r="O400" t="s">
        <v>74</v>
      </c>
      <c r="P400" t="s">
        <v>74</v>
      </c>
      <c r="Q400" t="s">
        <v>74</v>
      </c>
      <c r="R400" t="s">
        <v>74</v>
      </c>
      <c r="S400" t="s">
        <v>74</v>
      </c>
      <c r="T400" t="s">
        <v>74</v>
      </c>
      <c r="U400" t="s">
        <v>5618</v>
      </c>
      <c r="V400" t="s">
        <v>5619</v>
      </c>
      <c r="W400" t="s">
        <v>5620</v>
      </c>
      <c r="X400" t="s">
        <v>5621</v>
      </c>
      <c r="Y400" t="s">
        <v>5622</v>
      </c>
      <c r="Z400" t="s">
        <v>5623</v>
      </c>
      <c r="AA400" t="s">
        <v>5624</v>
      </c>
      <c r="AB400" t="s">
        <v>74</v>
      </c>
      <c r="AC400" t="s">
        <v>74</v>
      </c>
      <c r="AD400" t="s">
        <v>74</v>
      </c>
      <c r="AE400" t="s">
        <v>74</v>
      </c>
      <c r="AF400" t="s">
        <v>74</v>
      </c>
      <c r="AG400">
        <v>29</v>
      </c>
      <c r="AH400">
        <v>21</v>
      </c>
      <c r="AI400">
        <v>23</v>
      </c>
      <c r="AJ400">
        <v>0</v>
      </c>
      <c r="AK400">
        <v>4</v>
      </c>
      <c r="AL400" t="s">
        <v>149</v>
      </c>
      <c r="AM400" t="s">
        <v>150</v>
      </c>
      <c r="AN400" t="s">
        <v>151</v>
      </c>
      <c r="AO400" t="s">
        <v>662</v>
      </c>
      <c r="AP400" t="s">
        <v>663</v>
      </c>
      <c r="AQ400" t="s">
        <v>74</v>
      </c>
      <c r="AR400" t="s">
        <v>664</v>
      </c>
      <c r="AS400" t="s">
        <v>665</v>
      </c>
      <c r="AT400" t="s">
        <v>5544</v>
      </c>
      <c r="AU400">
        <v>2001</v>
      </c>
      <c r="AV400">
        <v>106</v>
      </c>
      <c r="AW400" t="s">
        <v>5600</v>
      </c>
      <c r="AX400" t="s">
        <v>74</v>
      </c>
      <c r="AY400" t="s">
        <v>74</v>
      </c>
      <c r="AZ400" t="s">
        <v>74</v>
      </c>
      <c r="BA400" t="s">
        <v>74</v>
      </c>
      <c r="BB400">
        <v>13917</v>
      </c>
      <c r="BC400">
        <v>13930</v>
      </c>
      <c r="BD400" t="s">
        <v>74</v>
      </c>
      <c r="BE400" t="s">
        <v>5625</v>
      </c>
      <c r="BF400" t="str">
        <f>HYPERLINK("http://dx.doi.org/10.1029/1999JC000188","http://dx.doi.org/10.1029/1999JC000188")</f>
        <v>http://dx.doi.org/10.1029/1999JC000188</v>
      </c>
      <c r="BG400" t="s">
        <v>74</v>
      </c>
      <c r="BH400" t="s">
        <v>74</v>
      </c>
      <c r="BI400">
        <v>14</v>
      </c>
      <c r="BJ400" t="s">
        <v>668</v>
      </c>
      <c r="BK400" t="s">
        <v>88</v>
      </c>
      <c r="BL400" t="s">
        <v>668</v>
      </c>
      <c r="BM400" t="s">
        <v>5602</v>
      </c>
      <c r="BN400" t="s">
        <v>74</v>
      </c>
      <c r="BO400" t="s">
        <v>171</v>
      </c>
      <c r="BP400" t="s">
        <v>74</v>
      </c>
      <c r="BQ400" t="s">
        <v>74</v>
      </c>
      <c r="BR400" t="s">
        <v>91</v>
      </c>
      <c r="BS400" t="s">
        <v>5626</v>
      </c>
      <c r="BT400" t="str">
        <f>HYPERLINK("https%3A%2F%2Fwww.webofscience.com%2Fwos%2Fwoscc%2Ffull-record%2FWOS:000169871100007","View Full Record in Web of Science")</f>
        <v>View Full Record in Web of Science</v>
      </c>
    </row>
    <row r="401" spans="1:72" x14ac:dyDescent="0.15">
      <c r="A401" t="s">
        <v>72</v>
      </c>
      <c r="B401" t="s">
        <v>5627</v>
      </c>
      <c r="C401" t="s">
        <v>74</v>
      </c>
      <c r="D401" t="s">
        <v>74</v>
      </c>
      <c r="E401" t="s">
        <v>74</v>
      </c>
      <c r="F401" t="s">
        <v>5627</v>
      </c>
      <c r="G401" t="s">
        <v>74</v>
      </c>
      <c r="H401" t="s">
        <v>74</v>
      </c>
      <c r="I401" t="s">
        <v>5628</v>
      </c>
      <c r="J401" t="s">
        <v>5629</v>
      </c>
      <c r="K401" t="s">
        <v>74</v>
      </c>
      <c r="L401" t="s">
        <v>74</v>
      </c>
      <c r="M401" t="s">
        <v>77</v>
      </c>
      <c r="N401" t="s">
        <v>120</v>
      </c>
      <c r="O401" t="s">
        <v>74</v>
      </c>
      <c r="P401" t="s">
        <v>74</v>
      </c>
      <c r="Q401" t="s">
        <v>74</v>
      </c>
      <c r="R401" t="s">
        <v>74</v>
      </c>
      <c r="S401" t="s">
        <v>74</v>
      </c>
      <c r="T401" t="s">
        <v>74</v>
      </c>
      <c r="U401" t="s">
        <v>5630</v>
      </c>
      <c r="V401" t="s">
        <v>5631</v>
      </c>
      <c r="W401" t="s">
        <v>5632</v>
      </c>
      <c r="X401" t="s">
        <v>5633</v>
      </c>
      <c r="Y401" t="s">
        <v>5634</v>
      </c>
      <c r="Z401" t="s">
        <v>5635</v>
      </c>
      <c r="AA401" t="s">
        <v>74</v>
      </c>
      <c r="AB401" t="s">
        <v>74</v>
      </c>
      <c r="AC401" t="s">
        <v>74</v>
      </c>
      <c r="AD401" t="s">
        <v>74</v>
      </c>
      <c r="AE401" t="s">
        <v>74</v>
      </c>
      <c r="AF401" t="s">
        <v>74</v>
      </c>
      <c r="AG401">
        <v>41</v>
      </c>
      <c r="AH401">
        <v>105</v>
      </c>
      <c r="AI401">
        <v>110</v>
      </c>
      <c r="AJ401">
        <v>0</v>
      </c>
      <c r="AK401">
        <v>17</v>
      </c>
      <c r="AL401" t="s">
        <v>5636</v>
      </c>
      <c r="AM401" t="s">
        <v>5637</v>
      </c>
      <c r="AN401" t="s">
        <v>5638</v>
      </c>
      <c r="AO401" t="s">
        <v>5639</v>
      </c>
      <c r="AP401" t="s">
        <v>5640</v>
      </c>
      <c r="AQ401" t="s">
        <v>74</v>
      </c>
      <c r="AR401" t="s">
        <v>5641</v>
      </c>
      <c r="AS401" t="s">
        <v>5642</v>
      </c>
      <c r="AT401" t="s">
        <v>5643</v>
      </c>
      <c r="AU401">
        <v>2001</v>
      </c>
      <c r="AV401">
        <v>276</v>
      </c>
      <c r="AW401">
        <v>28</v>
      </c>
      <c r="AX401" t="s">
        <v>74</v>
      </c>
      <c r="AY401" t="s">
        <v>74</v>
      </c>
      <c r="AZ401" t="s">
        <v>74</v>
      </c>
      <c r="BA401" t="s">
        <v>74</v>
      </c>
      <c r="BB401">
        <v>25791</v>
      </c>
      <c r="BC401">
        <v>25796</v>
      </c>
      <c r="BD401" t="s">
        <v>74</v>
      </c>
      <c r="BE401" t="s">
        <v>5644</v>
      </c>
      <c r="BF401" t="str">
        <f>HYPERLINK("http://dx.doi.org/10.1074/jbc.M102741200","http://dx.doi.org/10.1074/jbc.M102741200")</f>
        <v>http://dx.doi.org/10.1074/jbc.M102741200</v>
      </c>
      <c r="BG401" t="s">
        <v>74</v>
      </c>
      <c r="BH401" t="s">
        <v>74</v>
      </c>
      <c r="BI401">
        <v>6</v>
      </c>
      <c r="BJ401" t="s">
        <v>2248</v>
      </c>
      <c r="BK401" t="s">
        <v>88</v>
      </c>
      <c r="BL401" t="s">
        <v>2248</v>
      </c>
      <c r="BM401" t="s">
        <v>5645</v>
      </c>
      <c r="BN401">
        <v>11325973</v>
      </c>
      <c r="BO401" t="s">
        <v>5646</v>
      </c>
      <c r="BP401" t="s">
        <v>74</v>
      </c>
      <c r="BQ401" t="s">
        <v>74</v>
      </c>
      <c r="BR401" t="s">
        <v>91</v>
      </c>
      <c r="BS401" t="s">
        <v>5647</v>
      </c>
      <c r="BT401" t="str">
        <f>HYPERLINK("https%3A%2F%2Fwww.webofscience.com%2Fwos%2Fwoscc%2Ffull-record%2FWOS:000169823300022","View Full Record in Web of Science")</f>
        <v>View Full Record in Web of Science</v>
      </c>
    </row>
    <row r="402" spans="1:72" x14ac:dyDescent="0.15">
      <c r="A402" t="s">
        <v>72</v>
      </c>
      <c r="B402" t="s">
        <v>5648</v>
      </c>
      <c r="C402" t="s">
        <v>74</v>
      </c>
      <c r="D402" t="s">
        <v>74</v>
      </c>
      <c r="E402" t="s">
        <v>74</v>
      </c>
      <c r="F402" t="s">
        <v>5648</v>
      </c>
      <c r="G402" t="s">
        <v>74</v>
      </c>
      <c r="H402" t="s">
        <v>74</v>
      </c>
      <c r="I402" t="s">
        <v>5649</v>
      </c>
      <c r="J402" t="s">
        <v>5650</v>
      </c>
      <c r="K402" t="s">
        <v>74</v>
      </c>
      <c r="L402" t="s">
        <v>74</v>
      </c>
      <c r="M402" t="s">
        <v>77</v>
      </c>
      <c r="N402" t="s">
        <v>120</v>
      </c>
      <c r="O402" t="s">
        <v>74</v>
      </c>
      <c r="P402" t="s">
        <v>74</v>
      </c>
      <c r="Q402" t="s">
        <v>74</v>
      </c>
      <c r="R402" t="s">
        <v>74</v>
      </c>
      <c r="S402" t="s">
        <v>74</v>
      </c>
      <c r="T402" t="s">
        <v>5651</v>
      </c>
      <c r="U402" t="s">
        <v>5652</v>
      </c>
      <c r="V402" t="s">
        <v>5653</v>
      </c>
      <c r="W402" t="s">
        <v>5654</v>
      </c>
      <c r="X402" t="s">
        <v>5655</v>
      </c>
      <c r="Y402" t="s">
        <v>5656</v>
      </c>
      <c r="Z402" t="s">
        <v>74</v>
      </c>
      <c r="AA402" t="s">
        <v>5657</v>
      </c>
      <c r="AB402" t="s">
        <v>5658</v>
      </c>
      <c r="AC402" t="s">
        <v>5659</v>
      </c>
      <c r="AD402" t="s">
        <v>3449</v>
      </c>
      <c r="AE402" t="s">
        <v>74</v>
      </c>
      <c r="AF402" t="s">
        <v>74</v>
      </c>
      <c r="AG402">
        <v>23</v>
      </c>
      <c r="AH402">
        <v>57</v>
      </c>
      <c r="AI402">
        <v>62</v>
      </c>
      <c r="AJ402">
        <v>0</v>
      </c>
      <c r="AK402">
        <v>10</v>
      </c>
      <c r="AL402" t="s">
        <v>488</v>
      </c>
      <c r="AM402" t="s">
        <v>350</v>
      </c>
      <c r="AN402" t="s">
        <v>489</v>
      </c>
      <c r="AO402" t="s">
        <v>5660</v>
      </c>
      <c r="AP402" t="s">
        <v>74</v>
      </c>
      <c r="AQ402" t="s">
        <v>74</v>
      </c>
      <c r="AR402" t="s">
        <v>5661</v>
      </c>
      <c r="AS402" t="s">
        <v>5662</v>
      </c>
      <c r="AT402" t="s">
        <v>5663</v>
      </c>
      <c r="AU402">
        <v>2001</v>
      </c>
      <c r="AV402">
        <v>201</v>
      </c>
      <c r="AW402">
        <v>1</v>
      </c>
      <c r="AX402" t="s">
        <v>74</v>
      </c>
      <c r="AY402" t="s">
        <v>74</v>
      </c>
      <c r="AZ402" t="s">
        <v>74</v>
      </c>
      <c r="BA402" t="s">
        <v>74</v>
      </c>
      <c r="BB402">
        <v>47</v>
      </c>
      <c r="BC402">
        <v>51</v>
      </c>
      <c r="BD402" t="s">
        <v>74</v>
      </c>
      <c r="BE402" t="s">
        <v>5664</v>
      </c>
      <c r="BF402" t="str">
        <f>HYPERLINK("http://dx.doi.org/10.1016/S0378-1097(01)00238-5","http://dx.doi.org/10.1016/S0378-1097(01)00238-5")</f>
        <v>http://dx.doi.org/10.1016/S0378-1097(01)00238-5</v>
      </c>
      <c r="BG402" t="s">
        <v>74</v>
      </c>
      <c r="BH402" t="s">
        <v>74</v>
      </c>
      <c r="BI402">
        <v>5</v>
      </c>
      <c r="BJ402" t="s">
        <v>1196</v>
      </c>
      <c r="BK402" t="s">
        <v>88</v>
      </c>
      <c r="BL402" t="s">
        <v>1196</v>
      </c>
      <c r="BM402" t="s">
        <v>5665</v>
      </c>
      <c r="BN402">
        <v>11445166</v>
      </c>
      <c r="BO402" t="s">
        <v>74</v>
      </c>
      <c r="BP402" t="s">
        <v>74</v>
      </c>
      <c r="BQ402" t="s">
        <v>74</v>
      </c>
      <c r="BR402" t="s">
        <v>91</v>
      </c>
      <c r="BS402" t="s">
        <v>5666</v>
      </c>
      <c r="BT402" t="str">
        <f>HYPERLINK("https%3A%2F%2Fwww.webofscience.com%2Fwos%2Fwoscc%2Ffull-record%2FWOS:000169991800008","View Full Record in Web of Science")</f>
        <v>View Full Record in Web of Science</v>
      </c>
    </row>
    <row r="403" spans="1:72" x14ac:dyDescent="0.15">
      <c r="A403" t="s">
        <v>72</v>
      </c>
      <c r="B403" t="s">
        <v>5667</v>
      </c>
      <c r="C403" t="s">
        <v>74</v>
      </c>
      <c r="D403" t="s">
        <v>74</v>
      </c>
      <c r="E403" t="s">
        <v>74</v>
      </c>
      <c r="F403" t="s">
        <v>5667</v>
      </c>
      <c r="G403" t="s">
        <v>74</v>
      </c>
      <c r="H403" t="s">
        <v>74</v>
      </c>
      <c r="I403" t="s">
        <v>5668</v>
      </c>
      <c r="J403" t="s">
        <v>5669</v>
      </c>
      <c r="K403" t="s">
        <v>74</v>
      </c>
      <c r="L403" t="s">
        <v>74</v>
      </c>
      <c r="M403" t="s">
        <v>77</v>
      </c>
      <c r="N403" t="s">
        <v>120</v>
      </c>
      <c r="O403" t="s">
        <v>74</v>
      </c>
      <c r="P403" t="s">
        <v>74</v>
      </c>
      <c r="Q403" t="s">
        <v>74</v>
      </c>
      <c r="R403" t="s">
        <v>74</v>
      </c>
      <c r="S403" t="s">
        <v>74</v>
      </c>
      <c r="T403" t="s">
        <v>5670</v>
      </c>
      <c r="U403" t="s">
        <v>5671</v>
      </c>
      <c r="V403" t="s">
        <v>5672</v>
      </c>
      <c r="W403" t="s">
        <v>5673</v>
      </c>
      <c r="X403" t="s">
        <v>5674</v>
      </c>
      <c r="Y403" t="s">
        <v>5675</v>
      </c>
      <c r="Z403" t="s">
        <v>5635</v>
      </c>
      <c r="AA403" t="s">
        <v>5676</v>
      </c>
      <c r="AB403" t="s">
        <v>5677</v>
      </c>
      <c r="AC403" t="s">
        <v>74</v>
      </c>
      <c r="AD403" t="s">
        <v>74</v>
      </c>
      <c r="AE403" t="s">
        <v>74</v>
      </c>
      <c r="AF403" t="s">
        <v>74</v>
      </c>
      <c r="AG403">
        <v>34</v>
      </c>
      <c r="AH403">
        <v>70</v>
      </c>
      <c r="AI403">
        <v>80</v>
      </c>
      <c r="AJ403">
        <v>2</v>
      </c>
      <c r="AK403">
        <v>13</v>
      </c>
      <c r="AL403" t="s">
        <v>5678</v>
      </c>
      <c r="AM403" t="s">
        <v>683</v>
      </c>
      <c r="AN403" t="s">
        <v>1268</v>
      </c>
      <c r="AO403" t="s">
        <v>5679</v>
      </c>
      <c r="AP403" t="s">
        <v>5680</v>
      </c>
      <c r="AQ403" t="s">
        <v>74</v>
      </c>
      <c r="AR403" t="s">
        <v>5681</v>
      </c>
      <c r="AS403" t="s">
        <v>5682</v>
      </c>
      <c r="AT403" t="s">
        <v>5683</v>
      </c>
      <c r="AU403">
        <v>2001</v>
      </c>
      <c r="AV403">
        <v>310</v>
      </c>
      <c r="AW403">
        <v>2</v>
      </c>
      <c r="AX403" t="s">
        <v>74</v>
      </c>
      <c r="AY403" t="s">
        <v>74</v>
      </c>
      <c r="AZ403" t="s">
        <v>74</v>
      </c>
      <c r="BA403" t="s">
        <v>74</v>
      </c>
      <c r="BB403">
        <v>291</v>
      </c>
      <c r="BC403">
        <v>297</v>
      </c>
      <c r="BD403" t="s">
        <v>74</v>
      </c>
      <c r="BE403" t="s">
        <v>5684</v>
      </c>
      <c r="BF403" t="str">
        <f>HYPERLINK("http://dx.doi.org/10.1006/jmbi.2001.4774","http://dx.doi.org/10.1006/jmbi.2001.4774")</f>
        <v>http://dx.doi.org/10.1006/jmbi.2001.4774</v>
      </c>
      <c r="BG403" t="s">
        <v>74</v>
      </c>
      <c r="BH403" t="s">
        <v>74</v>
      </c>
      <c r="BI403">
        <v>7</v>
      </c>
      <c r="BJ403" t="s">
        <v>2248</v>
      </c>
      <c r="BK403" t="s">
        <v>88</v>
      </c>
      <c r="BL403" t="s">
        <v>2248</v>
      </c>
      <c r="BM403" t="s">
        <v>5685</v>
      </c>
      <c r="BN403">
        <v>11428890</v>
      </c>
      <c r="BO403" t="s">
        <v>74</v>
      </c>
      <c r="BP403" t="s">
        <v>74</v>
      </c>
      <c r="BQ403" t="s">
        <v>74</v>
      </c>
      <c r="BR403" t="s">
        <v>91</v>
      </c>
      <c r="BS403" t="s">
        <v>5686</v>
      </c>
      <c r="BT403" t="str">
        <f>HYPERLINK("https%3A%2F%2Fwww.webofscience.com%2Fwos%2Fwoscc%2Ffull-record%2FWOS:000169842800002","View Full Record in Web of Science")</f>
        <v>View Full Record in Web of Science</v>
      </c>
    </row>
    <row r="404" spans="1:72" x14ac:dyDescent="0.15">
      <c r="A404" t="s">
        <v>72</v>
      </c>
      <c r="B404" t="s">
        <v>5687</v>
      </c>
      <c r="C404" t="s">
        <v>74</v>
      </c>
      <c r="D404" t="s">
        <v>74</v>
      </c>
      <c r="E404" t="s">
        <v>74</v>
      </c>
      <c r="F404" t="s">
        <v>5687</v>
      </c>
      <c r="G404" t="s">
        <v>74</v>
      </c>
      <c r="H404" t="s">
        <v>74</v>
      </c>
      <c r="I404" t="s">
        <v>5688</v>
      </c>
      <c r="J404" t="s">
        <v>5689</v>
      </c>
      <c r="K404" t="s">
        <v>74</v>
      </c>
      <c r="L404" t="s">
        <v>74</v>
      </c>
      <c r="M404" t="s">
        <v>77</v>
      </c>
      <c r="N404" t="s">
        <v>696</v>
      </c>
      <c r="O404" t="s">
        <v>74</v>
      </c>
      <c r="P404" t="s">
        <v>74</v>
      </c>
      <c r="Q404" t="s">
        <v>74</v>
      </c>
      <c r="R404" t="s">
        <v>74</v>
      </c>
      <c r="S404" t="s">
        <v>74</v>
      </c>
      <c r="T404" t="s">
        <v>74</v>
      </c>
      <c r="U404" t="s">
        <v>74</v>
      </c>
      <c r="V404" t="s">
        <v>74</v>
      </c>
      <c r="W404" t="s">
        <v>74</v>
      </c>
      <c r="X404" t="s">
        <v>74</v>
      </c>
      <c r="Y404" t="s">
        <v>74</v>
      </c>
      <c r="Z404" t="s">
        <v>74</v>
      </c>
      <c r="AA404" t="s">
        <v>74</v>
      </c>
      <c r="AB404" t="s">
        <v>74</v>
      </c>
      <c r="AC404" t="s">
        <v>74</v>
      </c>
      <c r="AD404" t="s">
        <v>74</v>
      </c>
      <c r="AE404" t="s">
        <v>74</v>
      </c>
      <c r="AF404" t="s">
        <v>74</v>
      </c>
      <c r="AG404">
        <v>1</v>
      </c>
      <c r="AH404">
        <v>0</v>
      </c>
      <c r="AI404">
        <v>0</v>
      </c>
      <c r="AJ404">
        <v>0</v>
      </c>
      <c r="AK404">
        <v>0</v>
      </c>
      <c r="AL404" t="s">
        <v>5690</v>
      </c>
      <c r="AM404" t="s">
        <v>5691</v>
      </c>
      <c r="AN404" t="s">
        <v>5692</v>
      </c>
      <c r="AO404" t="s">
        <v>5693</v>
      </c>
      <c r="AP404" t="s">
        <v>74</v>
      </c>
      <c r="AQ404" t="s">
        <v>74</v>
      </c>
      <c r="AR404" t="s">
        <v>5694</v>
      </c>
      <c r="AS404" t="s">
        <v>5695</v>
      </c>
      <c r="AT404" t="s">
        <v>5683</v>
      </c>
      <c r="AU404">
        <v>2001</v>
      </c>
      <c r="AV404" t="s">
        <v>74</v>
      </c>
      <c r="AW404">
        <v>5127</v>
      </c>
      <c r="AX404" t="s">
        <v>74</v>
      </c>
      <c r="AY404" t="s">
        <v>74</v>
      </c>
      <c r="AZ404" t="s">
        <v>74</v>
      </c>
      <c r="BA404" t="s">
        <v>74</v>
      </c>
      <c r="BB404">
        <v>33</v>
      </c>
      <c r="BC404">
        <v>33</v>
      </c>
      <c r="BD404" t="s">
        <v>74</v>
      </c>
      <c r="BE404" t="s">
        <v>74</v>
      </c>
      <c r="BF404" t="s">
        <v>74</v>
      </c>
      <c r="BG404" t="s">
        <v>74</v>
      </c>
      <c r="BH404" t="s">
        <v>74</v>
      </c>
      <c r="BI404">
        <v>1</v>
      </c>
      <c r="BJ404" t="s">
        <v>3201</v>
      </c>
      <c r="BK404" t="s">
        <v>3202</v>
      </c>
      <c r="BL404" t="s">
        <v>3203</v>
      </c>
      <c r="BM404" t="s">
        <v>5696</v>
      </c>
      <c r="BN404" t="s">
        <v>74</v>
      </c>
      <c r="BO404" t="s">
        <v>74</v>
      </c>
      <c r="BP404" t="s">
        <v>74</v>
      </c>
      <c r="BQ404" t="s">
        <v>74</v>
      </c>
      <c r="BR404" t="s">
        <v>91</v>
      </c>
      <c r="BS404" t="s">
        <v>5697</v>
      </c>
      <c r="BT404" t="str">
        <f>HYPERLINK("https%3A%2F%2Fwww.webofscience.com%2Fwos%2Fwoscc%2Ffull-record%2FWOS:000169733300062","View Full Record in Web of Science")</f>
        <v>View Full Record in Web of Science</v>
      </c>
    </row>
    <row r="405" spans="1:72" x14ac:dyDescent="0.15">
      <c r="A405" t="s">
        <v>72</v>
      </c>
      <c r="B405" t="s">
        <v>5698</v>
      </c>
      <c r="C405" t="s">
        <v>74</v>
      </c>
      <c r="D405" t="s">
        <v>74</v>
      </c>
      <c r="E405" t="s">
        <v>74</v>
      </c>
      <c r="F405" t="s">
        <v>5698</v>
      </c>
      <c r="G405" t="s">
        <v>74</v>
      </c>
      <c r="H405" t="s">
        <v>74</v>
      </c>
      <c r="I405" t="s">
        <v>5699</v>
      </c>
      <c r="J405" t="s">
        <v>5700</v>
      </c>
      <c r="K405" t="s">
        <v>74</v>
      </c>
      <c r="L405" t="s">
        <v>74</v>
      </c>
      <c r="M405" t="s">
        <v>77</v>
      </c>
      <c r="N405" t="s">
        <v>120</v>
      </c>
      <c r="O405" t="s">
        <v>74</v>
      </c>
      <c r="P405" t="s">
        <v>74</v>
      </c>
      <c r="Q405" t="s">
        <v>74</v>
      </c>
      <c r="R405" t="s">
        <v>74</v>
      </c>
      <c r="S405" t="s">
        <v>74</v>
      </c>
      <c r="T405" t="s">
        <v>5701</v>
      </c>
      <c r="U405" t="s">
        <v>74</v>
      </c>
      <c r="V405" t="s">
        <v>5702</v>
      </c>
      <c r="W405" t="s">
        <v>5703</v>
      </c>
      <c r="X405" t="s">
        <v>5704</v>
      </c>
      <c r="Y405" t="s">
        <v>5705</v>
      </c>
      <c r="Z405" t="s">
        <v>74</v>
      </c>
      <c r="AA405" t="s">
        <v>74</v>
      </c>
      <c r="AB405" t="s">
        <v>74</v>
      </c>
      <c r="AC405" t="s">
        <v>74</v>
      </c>
      <c r="AD405" t="s">
        <v>74</v>
      </c>
      <c r="AE405" t="s">
        <v>74</v>
      </c>
      <c r="AF405" t="s">
        <v>74</v>
      </c>
      <c r="AG405">
        <v>16</v>
      </c>
      <c r="AH405">
        <v>16</v>
      </c>
      <c r="AI405">
        <v>18</v>
      </c>
      <c r="AJ405">
        <v>0</v>
      </c>
      <c r="AK405">
        <v>5</v>
      </c>
      <c r="AL405" t="s">
        <v>5706</v>
      </c>
      <c r="AM405" t="s">
        <v>5707</v>
      </c>
      <c r="AN405" t="s">
        <v>5708</v>
      </c>
      <c r="AO405" t="s">
        <v>5709</v>
      </c>
      <c r="AP405" t="s">
        <v>74</v>
      </c>
      <c r="AQ405" t="s">
        <v>74</v>
      </c>
      <c r="AR405" t="s">
        <v>5710</v>
      </c>
      <c r="AS405" t="s">
        <v>5711</v>
      </c>
      <c r="AT405" t="s">
        <v>5712</v>
      </c>
      <c r="AU405">
        <v>2001</v>
      </c>
      <c r="AV405">
        <v>46</v>
      </c>
      <c r="AW405">
        <v>3</v>
      </c>
      <c r="AX405" t="s">
        <v>74</v>
      </c>
      <c r="AY405" t="s">
        <v>74</v>
      </c>
      <c r="AZ405" t="s">
        <v>74</v>
      </c>
      <c r="BA405" t="s">
        <v>74</v>
      </c>
      <c r="BB405">
        <v>202</v>
      </c>
      <c r="BC405">
        <v>207</v>
      </c>
      <c r="BD405" t="s">
        <v>74</v>
      </c>
      <c r="BE405" t="s">
        <v>74</v>
      </c>
      <c r="BF405" t="s">
        <v>74</v>
      </c>
      <c r="BG405" t="s">
        <v>74</v>
      </c>
      <c r="BH405" t="s">
        <v>74</v>
      </c>
      <c r="BI405">
        <v>6</v>
      </c>
      <c r="BJ405" t="s">
        <v>5713</v>
      </c>
      <c r="BK405" t="s">
        <v>88</v>
      </c>
      <c r="BL405" t="s">
        <v>5713</v>
      </c>
      <c r="BM405" t="s">
        <v>5714</v>
      </c>
      <c r="BN405" t="s">
        <v>74</v>
      </c>
      <c r="BO405" t="s">
        <v>74</v>
      </c>
      <c r="BP405" t="s">
        <v>74</v>
      </c>
      <c r="BQ405" t="s">
        <v>74</v>
      </c>
      <c r="BR405" t="s">
        <v>91</v>
      </c>
      <c r="BS405" t="s">
        <v>5715</v>
      </c>
      <c r="BT405" t="str">
        <f>HYPERLINK("https%3A%2F%2Fwww.webofscience.com%2Fwos%2Fwoscc%2Ffull-record%2FWOS:000171064700007","View Full Record in Web of Science")</f>
        <v>View Full Record in Web of Science</v>
      </c>
    </row>
    <row r="406" spans="1:72" x14ac:dyDescent="0.15">
      <c r="A406" t="s">
        <v>72</v>
      </c>
      <c r="B406" t="s">
        <v>5716</v>
      </c>
      <c r="C406" t="s">
        <v>74</v>
      </c>
      <c r="D406" t="s">
        <v>74</v>
      </c>
      <c r="E406" t="s">
        <v>74</v>
      </c>
      <c r="F406" t="s">
        <v>5716</v>
      </c>
      <c r="G406" t="s">
        <v>74</v>
      </c>
      <c r="H406" t="s">
        <v>74</v>
      </c>
      <c r="I406" t="s">
        <v>5717</v>
      </c>
      <c r="J406" t="s">
        <v>5718</v>
      </c>
      <c r="K406" t="s">
        <v>74</v>
      </c>
      <c r="L406" t="s">
        <v>74</v>
      </c>
      <c r="M406" t="s">
        <v>77</v>
      </c>
      <c r="N406" t="s">
        <v>120</v>
      </c>
      <c r="O406" t="s">
        <v>74</v>
      </c>
      <c r="P406" t="s">
        <v>74</v>
      </c>
      <c r="Q406" t="s">
        <v>74</v>
      </c>
      <c r="R406" t="s">
        <v>74</v>
      </c>
      <c r="S406" t="s">
        <v>74</v>
      </c>
      <c r="T406" t="s">
        <v>5719</v>
      </c>
      <c r="U406" t="s">
        <v>5720</v>
      </c>
      <c r="V406" t="s">
        <v>5721</v>
      </c>
      <c r="W406" t="s">
        <v>5722</v>
      </c>
      <c r="X406" t="s">
        <v>5723</v>
      </c>
      <c r="Y406" t="s">
        <v>5724</v>
      </c>
      <c r="Z406" t="s">
        <v>74</v>
      </c>
      <c r="AA406" t="s">
        <v>74</v>
      </c>
      <c r="AB406" t="s">
        <v>74</v>
      </c>
      <c r="AC406" t="s">
        <v>74</v>
      </c>
      <c r="AD406" t="s">
        <v>74</v>
      </c>
      <c r="AE406" t="s">
        <v>74</v>
      </c>
      <c r="AF406" t="s">
        <v>74</v>
      </c>
      <c r="AG406">
        <v>30</v>
      </c>
      <c r="AH406">
        <v>31</v>
      </c>
      <c r="AI406">
        <v>35</v>
      </c>
      <c r="AJ406">
        <v>0</v>
      </c>
      <c r="AK406">
        <v>2</v>
      </c>
      <c r="AL406" t="s">
        <v>5725</v>
      </c>
      <c r="AM406" t="s">
        <v>5726</v>
      </c>
      <c r="AN406" t="s">
        <v>5727</v>
      </c>
      <c r="AO406" t="s">
        <v>5728</v>
      </c>
      <c r="AP406" t="s">
        <v>74</v>
      </c>
      <c r="AQ406" t="s">
        <v>74</v>
      </c>
      <c r="AR406" t="s">
        <v>5729</v>
      </c>
      <c r="AS406" t="s">
        <v>5730</v>
      </c>
      <c r="AT406" t="s">
        <v>5712</v>
      </c>
      <c r="AU406">
        <v>2001</v>
      </c>
      <c r="AV406">
        <v>19</v>
      </c>
      <c r="AW406">
        <v>7</v>
      </c>
      <c r="AX406" t="s">
        <v>74</v>
      </c>
      <c r="AY406" t="s">
        <v>74</v>
      </c>
      <c r="AZ406" t="s">
        <v>74</v>
      </c>
      <c r="BA406" t="s">
        <v>74</v>
      </c>
      <c r="BB406">
        <v>773</v>
      </c>
      <c r="BC406">
        <v>781</v>
      </c>
      <c r="BD406" t="s">
        <v>74</v>
      </c>
      <c r="BE406" t="s">
        <v>5731</v>
      </c>
      <c r="BF406" t="str">
        <f>HYPERLINK("http://dx.doi.org/10.5194/angeo-19-773-2001","http://dx.doi.org/10.5194/angeo-19-773-2001")</f>
        <v>http://dx.doi.org/10.5194/angeo-19-773-2001</v>
      </c>
      <c r="BG406" t="s">
        <v>74</v>
      </c>
      <c r="BH406" t="s">
        <v>74</v>
      </c>
      <c r="BI406">
        <v>9</v>
      </c>
      <c r="BJ406" t="s">
        <v>5732</v>
      </c>
      <c r="BK406" t="s">
        <v>88</v>
      </c>
      <c r="BL406" t="s">
        <v>5733</v>
      </c>
      <c r="BM406" t="s">
        <v>5734</v>
      </c>
      <c r="BN406" t="s">
        <v>74</v>
      </c>
      <c r="BO406" t="s">
        <v>5735</v>
      </c>
      <c r="BP406" t="s">
        <v>74</v>
      </c>
      <c r="BQ406" t="s">
        <v>74</v>
      </c>
      <c r="BR406" t="s">
        <v>91</v>
      </c>
      <c r="BS406" t="s">
        <v>5736</v>
      </c>
      <c r="BT406" t="str">
        <f>HYPERLINK("https%3A%2F%2Fwww.webofscience.com%2Fwos%2Fwoscc%2Ffull-record%2FWOS:000170772600010","View Full Record in Web of Science")</f>
        <v>View Full Record in Web of Science</v>
      </c>
    </row>
    <row r="407" spans="1:72" x14ac:dyDescent="0.15">
      <c r="A407" t="s">
        <v>72</v>
      </c>
      <c r="B407" t="s">
        <v>5737</v>
      </c>
      <c r="C407" t="s">
        <v>74</v>
      </c>
      <c r="D407" t="s">
        <v>74</v>
      </c>
      <c r="E407" t="s">
        <v>74</v>
      </c>
      <c r="F407" t="s">
        <v>5737</v>
      </c>
      <c r="G407" t="s">
        <v>74</v>
      </c>
      <c r="H407" t="s">
        <v>74</v>
      </c>
      <c r="I407" t="s">
        <v>5738</v>
      </c>
      <c r="J407" t="s">
        <v>5739</v>
      </c>
      <c r="K407" t="s">
        <v>74</v>
      </c>
      <c r="L407" t="s">
        <v>74</v>
      </c>
      <c r="M407" t="s">
        <v>77</v>
      </c>
      <c r="N407" t="s">
        <v>96</v>
      </c>
      <c r="O407" t="s">
        <v>74</v>
      </c>
      <c r="P407" t="s">
        <v>74</v>
      </c>
      <c r="Q407" t="s">
        <v>74</v>
      </c>
      <c r="R407" t="s">
        <v>74</v>
      </c>
      <c r="S407" t="s">
        <v>74</v>
      </c>
      <c r="T407" t="s">
        <v>5740</v>
      </c>
      <c r="U407" t="s">
        <v>5741</v>
      </c>
      <c r="V407" t="s">
        <v>5742</v>
      </c>
      <c r="W407" t="s">
        <v>5743</v>
      </c>
      <c r="X407" t="s">
        <v>5744</v>
      </c>
      <c r="Y407" t="s">
        <v>5745</v>
      </c>
      <c r="Z407" t="s">
        <v>5746</v>
      </c>
      <c r="AA407" t="s">
        <v>1585</v>
      </c>
      <c r="AB407" t="s">
        <v>1586</v>
      </c>
      <c r="AC407" t="s">
        <v>74</v>
      </c>
      <c r="AD407" t="s">
        <v>74</v>
      </c>
      <c r="AE407" t="s">
        <v>74</v>
      </c>
      <c r="AF407" t="s">
        <v>74</v>
      </c>
      <c r="AG407">
        <v>101</v>
      </c>
      <c r="AH407">
        <v>77</v>
      </c>
      <c r="AI407">
        <v>85</v>
      </c>
      <c r="AJ407">
        <v>0</v>
      </c>
      <c r="AK407">
        <v>14</v>
      </c>
      <c r="AL407" t="s">
        <v>273</v>
      </c>
      <c r="AM407" t="s">
        <v>80</v>
      </c>
      <c r="AN407" t="s">
        <v>274</v>
      </c>
      <c r="AO407" t="s">
        <v>5747</v>
      </c>
      <c r="AP407" t="s">
        <v>5748</v>
      </c>
      <c r="AQ407" t="s">
        <v>74</v>
      </c>
      <c r="AR407" t="s">
        <v>5749</v>
      </c>
      <c r="AS407" t="s">
        <v>5750</v>
      </c>
      <c r="AT407" t="s">
        <v>5712</v>
      </c>
      <c r="AU407">
        <v>2001</v>
      </c>
      <c r="AV407">
        <v>88</v>
      </c>
      <c r="AW407">
        <v>1</v>
      </c>
      <c r="AX407" t="s">
        <v>74</v>
      </c>
      <c r="AY407" t="s">
        <v>74</v>
      </c>
      <c r="AZ407" t="s">
        <v>74</v>
      </c>
      <c r="BA407" t="s">
        <v>74</v>
      </c>
      <c r="BB407">
        <v>33</v>
      </c>
      <c r="BC407">
        <v>54</v>
      </c>
      <c r="BD407" t="s">
        <v>74</v>
      </c>
      <c r="BE407" t="s">
        <v>5751</v>
      </c>
      <c r="BF407" t="str">
        <f>HYPERLINK("http://dx.doi.org/10.1006/anbo.2001.1425","http://dx.doi.org/10.1006/anbo.2001.1425")</f>
        <v>http://dx.doi.org/10.1006/anbo.2001.1425</v>
      </c>
      <c r="BG407" t="s">
        <v>74</v>
      </c>
      <c r="BH407" t="s">
        <v>74</v>
      </c>
      <c r="BI407">
        <v>22</v>
      </c>
      <c r="BJ407" t="s">
        <v>357</v>
      </c>
      <c r="BK407" t="s">
        <v>88</v>
      </c>
      <c r="BL407" t="s">
        <v>357</v>
      </c>
      <c r="BM407" t="s">
        <v>5752</v>
      </c>
      <c r="BN407" t="s">
        <v>74</v>
      </c>
      <c r="BO407" t="s">
        <v>5753</v>
      </c>
      <c r="BP407" t="s">
        <v>74</v>
      </c>
      <c r="BQ407" t="s">
        <v>74</v>
      </c>
      <c r="BR407" t="s">
        <v>91</v>
      </c>
      <c r="BS407" t="s">
        <v>5754</v>
      </c>
      <c r="BT407" t="str">
        <f>HYPERLINK("https%3A%2F%2Fwww.webofscience.com%2Fwos%2Fwoscc%2Ffull-record%2FWOS:000169583600005","View Full Record in Web of Science")</f>
        <v>View Full Record in Web of Science</v>
      </c>
    </row>
    <row r="408" spans="1:72" x14ac:dyDescent="0.15">
      <c r="A408" t="s">
        <v>72</v>
      </c>
      <c r="B408" t="s">
        <v>5755</v>
      </c>
      <c r="C408" t="s">
        <v>74</v>
      </c>
      <c r="D408" t="s">
        <v>74</v>
      </c>
      <c r="E408" t="s">
        <v>74</v>
      </c>
      <c r="F408" t="s">
        <v>5755</v>
      </c>
      <c r="G408" t="s">
        <v>74</v>
      </c>
      <c r="H408" t="s">
        <v>74</v>
      </c>
      <c r="I408" t="s">
        <v>5756</v>
      </c>
      <c r="J408" t="s">
        <v>5757</v>
      </c>
      <c r="K408" t="s">
        <v>74</v>
      </c>
      <c r="L408" t="s">
        <v>74</v>
      </c>
      <c r="M408" t="s">
        <v>77</v>
      </c>
      <c r="N408" t="s">
        <v>120</v>
      </c>
      <c r="O408" t="s">
        <v>74</v>
      </c>
      <c r="P408" t="s">
        <v>74</v>
      </c>
      <c r="Q408" t="s">
        <v>74</v>
      </c>
      <c r="R408" t="s">
        <v>74</v>
      </c>
      <c r="S408" t="s">
        <v>74</v>
      </c>
      <c r="T408" t="s">
        <v>74</v>
      </c>
      <c r="U408" t="s">
        <v>5758</v>
      </c>
      <c r="V408" t="s">
        <v>5759</v>
      </c>
      <c r="W408" t="s">
        <v>5760</v>
      </c>
      <c r="X408" t="s">
        <v>5761</v>
      </c>
      <c r="Y408" t="s">
        <v>5762</v>
      </c>
      <c r="Z408" t="s">
        <v>5763</v>
      </c>
      <c r="AA408" t="s">
        <v>74</v>
      </c>
      <c r="AB408" t="s">
        <v>74</v>
      </c>
      <c r="AC408" t="s">
        <v>74</v>
      </c>
      <c r="AD408" t="s">
        <v>74</v>
      </c>
      <c r="AE408" t="s">
        <v>74</v>
      </c>
      <c r="AF408" t="s">
        <v>74</v>
      </c>
      <c r="AG408">
        <v>22</v>
      </c>
      <c r="AH408">
        <v>3</v>
      </c>
      <c r="AI408">
        <v>3</v>
      </c>
      <c r="AJ408">
        <v>0</v>
      </c>
      <c r="AK408">
        <v>1</v>
      </c>
      <c r="AL408" t="s">
        <v>5764</v>
      </c>
      <c r="AM408" t="s">
        <v>5765</v>
      </c>
      <c r="AN408" t="s">
        <v>5766</v>
      </c>
      <c r="AO408" t="s">
        <v>5767</v>
      </c>
      <c r="AP408" t="s">
        <v>5768</v>
      </c>
      <c r="AQ408" t="s">
        <v>74</v>
      </c>
      <c r="AR408" t="s">
        <v>5769</v>
      </c>
      <c r="AS408" t="s">
        <v>5770</v>
      </c>
      <c r="AT408" t="s">
        <v>5771</v>
      </c>
      <c r="AU408">
        <v>2001</v>
      </c>
      <c r="AV408">
        <v>22</v>
      </c>
      <c r="AW408">
        <v>4</v>
      </c>
      <c r="AX408" t="s">
        <v>74</v>
      </c>
      <c r="AY408" t="s">
        <v>74</v>
      </c>
      <c r="AZ408" t="s">
        <v>74</v>
      </c>
      <c r="BA408" t="s">
        <v>74</v>
      </c>
      <c r="BB408">
        <v>350</v>
      </c>
      <c r="BC408">
        <v>355</v>
      </c>
      <c r="BD408" t="s">
        <v>74</v>
      </c>
      <c r="BE408" t="s">
        <v>74</v>
      </c>
      <c r="BF408" t="s">
        <v>74</v>
      </c>
      <c r="BG408" t="s">
        <v>74</v>
      </c>
      <c r="BH408" t="s">
        <v>74</v>
      </c>
      <c r="BI408">
        <v>6</v>
      </c>
      <c r="BJ408" t="s">
        <v>5772</v>
      </c>
      <c r="BK408" t="s">
        <v>88</v>
      </c>
      <c r="BL408" t="s">
        <v>5772</v>
      </c>
      <c r="BM408" t="s">
        <v>5773</v>
      </c>
      <c r="BN408" t="s">
        <v>74</v>
      </c>
      <c r="BO408" t="s">
        <v>74</v>
      </c>
      <c r="BP408" t="s">
        <v>74</v>
      </c>
      <c r="BQ408" t="s">
        <v>74</v>
      </c>
      <c r="BR408" t="s">
        <v>91</v>
      </c>
      <c r="BS408" t="s">
        <v>5774</v>
      </c>
      <c r="BT408" t="str">
        <f>HYPERLINK("https%3A%2F%2Fwww.webofscience.com%2Fwos%2Fwoscc%2Ffull-record%2FWOS:000171404900005","View Full Record in Web of Science")</f>
        <v>View Full Record in Web of Science</v>
      </c>
    </row>
    <row r="409" spans="1:72" x14ac:dyDescent="0.15">
      <c r="A409" t="s">
        <v>72</v>
      </c>
      <c r="B409" t="s">
        <v>5775</v>
      </c>
      <c r="C409" t="s">
        <v>74</v>
      </c>
      <c r="D409" t="s">
        <v>74</v>
      </c>
      <c r="E409" t="s">
        <v>74</v>
      </c>
      <c r="F409" t="s">
        <v>5775</v>
      </c>
      <c r="G409" t="s">
        <v>74</v>
      </c>
      <c r="H409" t="s">
        <v>74</v>
      </c>
      <c r="I409" t="s">
        <v>5776</v>
      </c>
      <c r="J409" t="s">
        <v>5777</v>
      </c>
      <c r="K409" t="s">
        <v>74</v>
      </c>
      <c r="L409" t="s">
        <v>74</v>
      </c>
      <c r="M409" t="s">
        <v>77</v>
      </c>
      <c r="N409" t="s">
        <v>120</v>
      </c>
      <c r="O409" t="s">
        <v>74</v>
      </c>
      <c r="P409" t="s">
        <v>74</v>
      </c>
      <c r="Q409" t="s">
        <v>74</v>
      </c>
      <c r="R409" t="s">
        <v>74</v>
      </c>
      <c r="S409" t="s">
        <v>74</v>
      </c>
      <c r="T409" t="s">
        <v>5778</v>
      </c>
      <c r="U409" t="s">
        <v>5779</v>
      </c>
      <c r="V409" t="s">
        <v>5780</v>
      </c>
      <c r="W409" t="s">
        <v>5781</v>
      </c>
      <c r="X409" t="s">
        <v>5782</v>
      </c>
      <c r="Y409" t="s">
        <v>5783</v>
      </c>
      <c r="Z409" t="s">
        <v>74</v>
      </c>
      <c r="AA409" t="s">
        <v>5784</v>
      </c>
      <c r="AB409" t="s">
        <v>5785</v>
      </c>
      <c r="AC409" t="s">
        <v>74</v>
      </c>
      <c r="AD409" t="s">
        <v>74</v>
      </c>
      <c r="AE409" t="s">
        <v>74</v>
      </c>
      <c r="AF409" t="s">
        <v>74</v>
      </c>
      <c r="AG409">
        <v>41</v>
      </c>
      <c r="AH409">
        <v>63</v>
      </c>
      <c r="AI409">
        <v>66</v>
      </c>
      <c r="AJ409">
        <v>0</v>
      </c>
      <c r="AK409">
        <v>12</v>
      </c>
      <c r="AL409" t="s">
        <v>203</v>
      </c>
      <c r="AM409" t="s">
        <v>204</v>
      </c>
      <c r="AN409" t="s">
        <v>205</v>
      </c>
      <c r="AO409" t="s">
        <v>5786</v>
      </c>
      <c r="AP409" t="s">
        <v>74</v>
      </c>
      <c r="AQ409" t="s">
        <v>74</v>
      </c>
      <c r="AR409" t="s">
        <v>5787</v>
      </c>
      <c r="AS409" t="s">
        <v>5788</v>
      </c>
      <c r="AT409" t="s">
        <v>5712</v>
      </c>
      <c r="AU409">
        <v>2001</v>
      </c>
      <c r="AV409">
        <v>63</v>
      </c>
      <c r="AW409" t="s">
        <v>3507</v>
      </c>
      <c r="AX409" t="s">
        <v>74</v>
      </c>
      <c r="AY409" t="s">
        <v>74</v>
      </c>
      <c r="AZ409" t="s">
        <v>74</v>
      </c>
      <c r="BA409" t="s">
        <v>74</v>
      </c>
      <c r="BB409">
        <v>179</v>
      </c>
      <c r="BC409">
        <v>190</v>
      </c>
      <c r="BD409" t="s">
        <v>74</v>
      </c>
      <c r="BE409" t="s">
        <v>5789</v>
      </c>
      <c r="BF409" t="str">
        <f>HYPERLINK("http://dx.doi.org/10.1007/s004450100134","http://dx.doi.org/10.1007/s004450100134")</f>
        <v>http://dx.doi.org/10.1007/s004450100134</v>
      </c>
      <c r="BG409" t="s">
        <v>74</v>
      </c>
      <c r="BH409" t="s">
        <v>74</v>
      </c>
      <c r="BI409">
        <v>12</v>
      </c>
      <c r="BJ409" t="s">
        <v>300</v>
      </c>
      <c r="BK409" t="s">
        <v>88</v>
      </c>
      <c r="BL409" t="s">
        <v>113</v>
      </c>
      <c r="BM409" t="s">
        <v>5790</v>
      </c>
      <c r="BN409" t="s">
        <v>74</v>
      </c>
      <c r="BO409" t="s">
        <v>74</v>
      </c>
      <c r="BP409" t="s">
        <v>74</v>
      </c>
      <c r="BQ409" t="s">
        <v>74</v>
      </c>
      <c r="BR409" t="s">
        <v>91</v>
      </c>
      <c r="BS409" t="s">
        <v>5791</v>
      </c>
      <c r="BT409" t="str">
        <f>HYPERLINK("https%3A%2F%2Fwww.webofscience.com%2Fwos%2Fwoscc%2Ffull-record%2FWOS:000170112300007","View Full Record in Web of Science")</f>
        <v>View Full Record in Web of Science</v>
      </c>
    </row>
    <row r="410" spans="1:72" x14ac:dyDescent="0.15">
      <c r="A410" t="s">
        <v>72</v>
      </c>
      <c r="B410" t="s">
        <v>5792</v>
      </c>
      <c r="C410" t="s">
        <v>74</v>
      </c>
      <c r="D410" t="s">
        <v>74</v>
      </c>
      <c r="E410" t="s">
        <v>74</v>
      </c>
      <c r="F410" t="s">
        <v>5792</v>
      </c>
      <c r="G410" t="s">
        <v>74</v>
      </c>
      <c r="H410" t="s">
        <v>74</v>
      </c>
      <c r="I410" t="s">
        <v>5793</v>
      </c>
      <c r="J410" t="s">
        <v>5794</v>
      </c>
      <c r="K410" t="s">
        <v>74</v>
      </c>
      <c r="L410" t="s">
        <v>74</v>
      </c>
      <c r="M410" t="s">
        <v>77</v>
      </c>
      <c r="N410" t="s">
        <v>96</v>
      </c>
      <c r="O410" t="s">
        <v>74</v>
      </c>
      <c r="P410" t="s">
        <v>74</v>
      </c>
      <c r="Q410" t="s">
        <v>74</v>
      </c>
      <c r="R410" t="s">
        <v>74</v>
      </c>
      <c r="S410" t="s">
        <v>74</v>
      </c>
      <c r="T410" t="s">
        <v>74</v>
      </c>
      <c r="U410" t="s">
        <v>5795</v>
      </c>
      <c r="V410" t="s">
        <v>5796</v>
      </c>
      <c r="W410" t="s">
        <v>5797</v>
      </c>
      <c r="X410" t="s">
        <v>5798</v>
      </c>
      <c r="Y410" t="s">
        <v>5799</v>
      </c>
      <c r="Z410" t="s">
        <v>5800</v>
      </c>
      <c r="AA410" t="s">
        <v>74</v>
      </c>
      <c r="AB410" t="s">
        <v>74</v>
      </c>
      <c r="AC410" t="s">
        <v>74</v>
      </c>
      <c r="AD410" t="s">
        <v>74</v>
      </c>
      <c r="AE410" t="s">
        <v>74</v>
      </c>
      <c r="AF410" t="s">
        <v>74</v>
      </c>
      <c r="AG410">
        <v>286</v>
      </c>
      <c r="AH410">
        <v>26</v>
      </c>
      <c r="AI410">
        <v>27</v>
      </c>
      <c r="AJ410">
        <v>1</v>
      </c>
      <c r="AK410">
        <v>9</v>
      </c>
      <c r="AL410" t="s">
        <v>5801</v>
      </c>
      <c r="AM410" t="s">
        <v>5802</v>
      </c>
      <c r="AN410" t="s">
        <v>5803</v>
      </c>
      <c r="AO410" t="s">
        <v>5804</v>
      </c>
      <c r="AP410" t="s">
        <v>5805</v>
      </c>
      <c r="AQ410" t="s">
        <v>74</v>
      </c>
      <c r="AR410" t="s">
        <v>5806</v>
      </c>
      <c r="AS410" t="s">
        <v>5807</v>
      </c>
      <c r="AT410" t="s">
        <v>5712</v>
      </c>
      <c r="AU410">
        <v>2001</v>
      </c>
      <c r="AV410">
        <v>79</v>
      </c>
      <c r="AW410">
        <v>7</v>
      </c>
      <c r="AX410" t="s">
        <v>74</v>
      </c>
      <c r="AY410" t="s">
        <v>74</v>
      </c>
      <c r="AZ410" t="s">
        <v>74</v>
      </c>
      <c r="BA410" t="s">
        <v>74</v>
      </c>
      <c r="BB410">
        <v>1209</v>
      </c>
      <c r="BC410">
        <v>1231</v>
      </c>
      <c r="BD410" t="s">
        <v>74</v>
      </c>
      <c r="BE410" t="s">
        <v>5808</v>
      </c>
      <c r="BF410" t="str">
        <f>HYPERLINK("http://dx.doi.org/10.1139/cjz-79-7-1209","http://dx.doi.org/10.1139/cjz-79-7-1209")</f>
        <v>http://dx.doi.org/10.1139/cjz-79-7-1209</v>
      </c>
      <c r="BG410" t="s">
        <v>74</v>
      </c>
      <c r="BH410" t="s">
        <v>74</v>
      </c>
      <c r="BI410">
        <v>23</v>
      </c>
      <c r="BJ410" t="s">
        <v>408</v>
      </c>
      <c r="BK410" t="s">
        <v>88</v>
      </c>
      <c r="BL410" t="s">
        <v>408</v>
      </c>
      <c r="BM410" t="s">
        <v>5809</v>
      </c>
      <c r="BN410" t="s">
        <v>74</v>
      </c>
      <c r="BO410" t="s">
        <v>74</v>
      </c>
      <c r="BP410" t="s">
        <v>74</v>
      </c>
      <c r="BQ410" t="s">
        <v>74</v>
      </c>
      <c r="BR410" t="s">
        <v>91</v>
      </c>
      <c r="BS410" t="s">
        <v>5810</v>
      </c>
      <c r="BT410" t="str">
        <f>HYPERLINK("https%3A%2F%2Fwww.webofscience.com%2Fwos%2Fwoscc%2Ffull-record%2FWOS:000170074200005","View Full Record in Web of Science")</f>
        <v>View Full Record in Web of Science</v>
      </c>
    </row>
    <row r="411" spans="1:72" x14ac:dyDescent="0.15">
      <c r="A411" t="s">
        <v>72</v>
      </c>
      <c r="B411" t="s">
        <v>5811</v>
      </c>
      <c r="C411" t="s">
        <v>74</v>
      </c>
      <c r="D411" t="s">
        <v>74</v>
      </c>
      <c r="E411" t="s">
        <v>74</v>
      </c>
      <c r="F411" t="s">
        <v>5811</v>
      </c>
      <c r="G411" t="s">
        <v>74</v>
      </c>
      <c r="H411" t="s">
        <v>74</v>
      </c>
      <c r="I411" t="s">
        <v>5812</v>
      </c>
      <c r="J411" t="s">
        <v>4839</v>
      </c>
      <c r="K411" t="s">
        <v>74</v>
      </c>
      <c r="L411" t="s">
        <v>74</v>
      </c>
      <c r="M411" t="s">
        <v>77</v>
      </c>
      <c r="N411" t="s">
        <v>435</v>
      </c>
      <c r="O411" t="s">
        <v>5813</v>
      </c>
      <c r="P411" t="s">
        <v>5814</v>
      </c>
      <c r="Q411" t="s">
        <v>5815</v>
      </c>
      <c r="R411" t="s">
        <v>74</v>
      </c>
      <c r="S411" t="s">
        <v>74</v>
      </c>
      <c r="T411" t="s">
        <v>5816</v>
      </c>
      <c r="U411" t="s">
        <v>5817</v>
      </c>
      <c r="V411" t="s">
        <v>5818</v>
      </c>
      <c r="W411" t="s">
        <v>5819</v>
      </c>
      <c r="X411" t="s">
        <v>5820</v>
      </c>
      <c r="Y411" t="s">
        <v>5821</v>
      </c>
      <c r="Z411" t="s">
        <v>74</v>
      </c>
      <c r="AA411" t="s">
        <v>5822</v>
      </c>
      <c r="AB411" t="s">
        <v>5823</v>
      </c>
      <c r="AC411" t="s">
        <v>74</v>
      </c>
      <c r="AD411" t="s">
        <v>74</v>
      </c>
      <c r="AE411" t="s">
        <v>74</v>
      </c>
      <c r="AF411" t="s">
        <v>74</v>
      </c>
      <c r="AG411">
        <v>74</v>
      </c>
      <c r="AH411">
        <v>116</v>
      </c>
      <c r="AI411">
        <v>132</v>
      </c>
      <c r="AJ411">
        <v>5</v>
      </c>
      <c r="AK411">
        <v>56</v>
      </c>
      <c r="AL411" t="s">
        <v>4847</v>
      </c>
      <c r="AM411" t="s">
        <v>204</v>
      </c>
      <c r="AN411" t="s">
        <v>4848</v>
      </c>
      <c r="AO411" t="s">
        <v>4849</v>
      </c>
      <c r="AP411" t="s">
        <v>74</v>
      </c>
      <c r="AQ411" t="s">
        <v>74</v>
      </c>
      <c r="AR411" t="s">
        <v>4850</v>
      </c>
      <c r="AS411" t="s">
        <v>4851</v>
      </c>
      <c r="AT411" t="s">
        <v>5712</v>
      </c>
      <c r="AU411">
        <v>2001</v>
      </c>
      <c r="AV411">
        <v>129</v>
      </c>
      <c r="AW411">
        <v>4</v>
      </c>
      <c r="AX411" t="s">
        <v>74</v>
      </c>
      <c r="AY411" t="s">
        <v>74</v>
      </c>
      <c r="AZ411" t="s">
        <v>74</v>
      </c>
      <c r="BA411" t="s">
        <v>74</v>
      </c>
      <c r="BB411">
        <v>771</v>
      </c>
      <c r="BC411">
        <v>783</v>
      </c>
      <c r="BD411" t="s">
        <v>74</v>
      </c>
      <c r="BE411" t="s">
        <v>5824</v>
      </c>
      <c r="BF411" t="str">
        <f>HYPERLINK("http://dx.doi.org/10.1016/S1095-6433(01)00346-4","http://dx.doi.org/10.1016/S1095-6433(01)00346-4")</f>
        <v>http://dx.doi.org/10.1016/S1095-6433(01)00346-4</v>
      </c>
      <c r="BG411" t="s">
        <v>74</v>
      </c>
      <c r="BH411" t="s">
        <v>74</v>
      </c>
      <c r="BI411">
        <v>13</v>
      </c>
      <c r="BJ411" t="s">
        <v>4853</v>
      </c>
      <c r="BK411" t="s">
        <v>453</v>
      </c>
      <c r="BL411" t="s">
        <v>4853</v>
      </c>
      <c r="BM411" t="s">
        <v>5825</v>
      </c>
      <c r="BN411">
        <v>11440864</v>
      </c>
      <c r="BO411" t="s">
        <v>74</v>
      </c>
      <c r="BP411" t="s">
        <v>74</v>
      </c>
      <c r="BQ411" t="s">
        <v>74</v>
      </c>
      <c r="BR411" t="s">
        <v>91</v>
      </c>
      <c r="BS411" t="s">
        <v>5826</v>
      </c>
      <c r="BT411" t="str">
        <f>HYPERLINK("https%3A%2F%2Fwww.webofscience.com%2Fwos%2Fwoscc%2Ffull-record%2FWOS:000169788500005","View Full Record in Web of Science")</f>
        <v>View Full Record in Web of Science</v>
      </c>
    </row>
    <row r="412" spans="1:72" x14ac:dyDescent="0.15">
      <c r="A412" t="s">
        <v>72</v>
      </c>
      <c r="B412" t="s">
        <v>5827</v>
      </c>
      <c r="C412" t="s">
        <v>74</v>
      </c>
      <c r="D412" t="s">
        <v>74</v>
      </c>
      <c r="E412" t="s">
        <v>74</v>
      </c>
      <c r="F412" t="s">
        <v>5827</v>
      </c>
      <c r="G412" t="s">
        <v>74</v>
      </c>
      <c r="H412" t="s">
        <v>74</v>
      </c>
      <c r="I412" t="s">
        <v>5828</v>
      </c>
      <c r="J412" t="s">
        <v>5829</v>
      </c>
      <c r="K412" t="s">
        <v>74</v>
      </c>
      <c r="L412" t="s">
        <v>74</v>
      </c>
      <c r="M412" t="s">
        <v>77</v>
      </c>
      <c r="N412" t="s">
        <v>120</v>
      </c>
      <c r="O412" t="s">
        <v>74</v>
      </c>
      <c r="P412" t="s">
        <v>74</v>
      </c>
      <c r="Q412" t="s">
        <v>74</v>
      </c>
      <c r="R412" t="s">
        <v>74</v>
      </c>
      <c r="S412" t="s">
        <v>74</v>
      </c>
      <c r="T412" t="s">
        <v>5830</v>
      </c>
      <c r="U412" t="s">
        <v>5831</v>
      </c>
      <c r="V412" t="s">
        <v>5832</v>
      </c>
      <c r="W412" t="s">
        <v>5833</v>
      </c>
      <c r="X412" t="s">
        <v>5834</v>
      </c>
      <c r="Y412" t="s">
        <v>5835</v>
      </c>
      <c r="Z412" t="s">
        <v>5836</v>
      </c>
      <c r="AA412" t="s">
        <v>5837</v>
      </c>
      <c r="AB412" t="s">
        <v>5838</v>
      </c>
      <c r="AC412" t="s">
        <v>74</v>
      </c>
      <c r="AD412" t="s">
        <v>74</v>
      </c>
      <c r="AE412" t="s">
        <v>74</v>
      </c>
      <c r="AF412" t="s">
        <v>74</v>
      </c>
      <c r="AG412">
        <v>84</v>
      </c>
      <c r="AH412">
        <v>53</v>
      </c>
      <c r="AI412">
        <v>59</v>
      </c>
      <c r="AJ412">
        <v>1</v>
      </c>
      <c r="AK412">
        <v>20</v>
      </c>
      <c r="AL412" t="s">
        <v>4847</v>
      </c>
      <c r="AM412" t="s">
        <v>204</v>
      </c>
      <c r="AN412" t="s">
        <v>5839</v>
      </c>
      <c r="AO412" t="s">
        <v>4849</v>
      </c>
      <c r="AP412" t="s">
        <v>5840</v>
      </c>
      <c r="AQ412" t="s">
        <v>74</v>
      </c>
      <c r="AR412" t="s">
        <v>4850</v>
      </c>
      <c r="AS412" t="s">
        <v>4851</v>
      </c>
      <c r="AT412" t="s">
        <v>5712</v>
      </c>
      <c r="AU412">
        <v>2001</v>
      </c>
      <c r="AV412">
        <v>129</v>
      </c>
      <c r="AW412">
        <v>4</v>
      </c>
      <c r="AX412" t="s">
        <v>74</v>
      </c>
      <c r="AY412" t="s">
        <v>74</v>
      </c>
      <c r="AZ412" t="s">
        <v>74</v>
      </c>
      <c r="BA412" t="s">
        <v>74</v>
      </c>
      <c r="BB412">
        <v>829</v>
      </c>
      <c r="BC412">
        <v>841</v>
      </c>
      <c r="BD412" t="s">
        <v>74</v>
      </c>
      <c r="BE412" t="s">
        <v>5841</v>
      </c>
      <c r="BF412" t="str">
        <f>HYPERLINK("http://dx.doi.org/10.1016/S1095-6433(01)00339-7","http://dx.doi.org/10.1016/S1095-6433(01)00339-7")</f>
        <v>http://dx.doi.org/10.1016/S1095-6433(01)00339-7</v>
      </c>
      <c r="BG412" t="s">
        <v>74</v>
      </c>
      <c r="BH412" t="s">
        <v>74</v>
      </c>
      <c r="BI412">
        <v>13</v>
      </c>
      <c r="BJ412" t="s">
        <v>4853</v>
      </c>
      <c r="BK412" t="s">
        <v>88</v>
      </c>
      <c r="BL412" t="s">
        <v>4853</v>
      </c>
      <c r="BM412" t="s">
        <v>5825</v>
      </c>
      <c r="BN412">
        <v>11440869</v>
      </c>
      <c r="BO412" t="s">
        <v>74</v>
      </c>
      <c r="BP412" t="s">
        <v>74</v>
      </c>
      <c r="BQ412" t="s">
        <v>74</v>
      </c>
      <c r="BR412" t="s">
        <v>91</v>
      </c>
      <c r="BS412" t="s">
        <v>5842</v>
      </c>
      <c r="BT412" t="str">
        <f>HYPERLINK("https%3A%2F%2Fwww.webofscience.com%2Fwos%2Fwoscc%2Ffull-record%2FWOS:000169788500010","View Full Record in Web of Science")</f>
        <v>View Full Record in Web of Science</v>
      </c>
    </row>
    <row r="413" spans="1:72" x14ac:dyDescent="0.15">
      <c r="A413" t="s">
        <v>72</v>
      </c>
      <c r="B413" t="s">
        <v>5843</v>
      </c>
      <c r="C413" t="s">
        <v>74</v>
      </c>
      <c r="D413" t="s">
        <v>74</v>
      </c>
      <c r="E413" t="s">
        <v>74</v>
      </c>
      <c r="F413" t="s">
        <v>5843</v>
      </c>
      <c r="G413" t="s">
        <v>74</v>
      </c>
      <c r="H413" t="s">
        <v>74</v>
      </c>
      <c r="I413" t="s">
        <v>5844</v>
      </c>
      <c r="J413" t="s">
        <v>3533</v>
      </c>
      <c r="K413" t="s">
        <v>74</v>
      </c>
      <c r="L413" t="s">
        <v>74</v>
      </c>
      <c r="M413" t="s">
        <v>77</v>
      </c>
      <c r="N413" t="s">
        <v>120</v>
      </c>
      <c r="O413" t="s">
        <v>74</v>
      </c>
      <c r="P413" t="s">
        <v>74</v>
      </c>
      <c r="Q413" t="s">
        <v>74</v>
      </c>
      <c r="R413" t="s">
        <v>74</v>
      </c>
      <c r="S413" t="s">
        <v>74</v>
      </c>
      <c r="T413" t="s">
        <v>5845</v>
      </c>
      <c r="U413" t="s">
        <v>5846</v>
      </c>
      <c r="V413" t="s">
        <v>5847</v>
      </c>
      <c r="W413" t="s">
        <v>5848</v>
      </c>
      <c r="X413" t="s">
        <v>5849</v>
      </c>
      <c r="Y413" t="s">
        <v>5850</v>
      </c>
      <c r="Z413" t="s">
        <v>74</v>
      </c>
      <c r="AA413" t="s">
        <v>5851</v>
      </c>
      <c r="AB413" t="s">
        <v>5852</v>
      </c>
      <c r="AC413" t="s">
        <v>74</v>
      </c>
      <c r="AD413" t="s">
        <v>74</v>
      </c>
      <c r="AE413" t="s">
        <v>74</v>
      </c>
      <c r="AF413" t="s">
        <v>74</v>
      </c>
      <c r="AG413">
        <v>61</v>
      </c>
      <c r="AH413">
        <v>20</v>
      </c>
      <c r="AI413">
        <v>29</v>
      </c>
      <c r="AJ413">
        <v>0</v>
      </c>
      <c r="AK413">
        <v>16</v>
      </c>
      <c r="AL413" t="s">
        <v>79</v>
      </c>
      <c r="AM413" t="s">
        <v>80</v>
      </c>
      <c r="AN413" t="s">
        <v>81</v>
      </c>
      <c r="AO413" t="s">
        <v>3542</v>
      </c>
      <c r="AP413" t="s">
        <v>74</v>
      </c>
      <c r="AQ413" t="s">
        <v>74</v>
      </c>
      <c r="AR413" t="s">
        <v>3543</v>
      </c>
      <c r="AS413" t="s">
        <v>3544</v>
      </c>
      <c r="AT413" t="s">
        <v>5712</v>
      </c>
      <c r="AU413">
        <v>2001</v>
      </c>
      <c r="AV413">
        <v>48</v>
      </c>
      <c r="AW413">
        <v>7</v>
      </c>
      <c r="AX413" t="s">
        <v>74</v>
      </c>
      <c r="AY413" t="s">
        <v>74</v>
      </c>
      <c r="AZ413" t="s">
        <v>74</v>
      </c>
      <c r="BA413" t="s">
        <v>74</v>
      </c>
      <c r="BB413">
        <v>1581</v>
      </c>
      <c r="BC413">
        <v>1603</v>
      </c>
      <c r="BD413" t="s">
        <v>74</v>
      </c>
      <c r="BE413" t="s">
        <v>5853</v>
      </c>
      <c r="BF413" t="str">
        <f>HYPERLINK("http://dx.doi.org/10.1016/S0967-0637(00)00086-8","http://dx.doi.org/10.1016/S0967-0637(00)00086-8")</f>
        <v>http://dx.doi.org/10.1016/S0967-0637(00)00086-8</v>
      </c>
      <c r="BG413" t="s">
        <v>74</v>
      </c>
      <c r="BH413" t="s">
        <v>74</v>
      </c>
      <c r="BI413">
        <v>23</v>
      </c>
      <c r="BJ413" t="s">
        <v>668</v>
      </c>
      <c r="BK413" t="s">
        <v>88</v>
      </c>
      <c r="BL413" t="s">
        <v>668</v>
      </c>
      <c r="BM413" t="s">
        <v>5854</v>
      </c>
      <c r="BN413" t="s">
        <v>74</v>
      </c>
      <c r="BO413" t="s">
        <v>74</v>
      </c>
      <c r="BP413" t="s">
        <v>74</v>
      </c>
      <c r="BQ413" t="s">
        <v>74</v>
      </c>
      <c r="BR413" t="s">
        <v>91</v>
      </c>
      <c r="BS413" t="s">
        <v>5855</v>
      </c>
      <c r="BT413" t="str">
        <f>HYPERLINK("https%3A%2F%2Fwww.webofscience.com%2Fwos%2Fwoscc%2Ffull-record%2FWOS:000168499400002","View Full Record in Web of Science")</f>
        <v>View Full Record in Web of Science</v>
      </c>
    </row>
    <row r="414" spans="1:72" x14ac:dyDescent="0.15">
      <c r="A414" t="s">
        <v>72</v>
      </c>
      <c r="B414" t="s">
        <v>5856</v>
      </c>
      <c r="C414" t="s">
        <v>74</v>
      </c>
      <c r="D414" t="s">
        <v>74</v>
      </c>
      <c r="E414" t="s">
        <v>74</v>
      </c>
      <c r="F414" t="s">
        <v>5856</v>
      </c>
      <c r="G414" t="s">
        <v>74</v>
      </c>
      <c r="H414" t="s">
        <v>74</v>
      </c>
      <c r="I414" t="s">
        <v>5857</v>
      </c>
      <c r="J414" t="s">
        <v>3533</v>
      </c>
      <c r="K414" t="s">
        <v>74</v>
      </c>
      <c r="L414" t="s">
        <v>74</v>
      </c>
      <c r="M414" t="s">
        <v>77</v>
      </c>
      <c r="N414" t="s">
        <v>120</v>
      </c>
      <c r="O414" t="s">
        <v>74</v>
      </c>
      <c r="P414" t="s">
        <v>74</v>
      </c>
      <c r="Q414" t="s">
        <v>74</v>
      </c>
      <c r="R414" t="s">
        <v>74</v>
      </c>
      <c r="S414" t="s">
        <v>74</v>
      </c>
      <c r="T414" t="s">
        <v>5858</v>
      </c>
      <c r="U414" t="s">
        <v>5859</v>
      </c>
      <c r="V414" t="s">
        <v>5860</v>
      </c>
      <c r="W414" t="s">
        <v>2323</v>
      </c>
      <c r="X414" t="s">
        <v>1679</v>
      </c>
      <c r="Y414" t="s">
        <v>5861</v>
      </c>
      <c r="Z414" t="s">
        <v>74</v>
      </c>
      <c r="AA414" t="s">
        <v>74</v>
      </c>
      <c r="AB414" t="s">
        <v>5862</v>
      </c>
      <c r="AC414" t="s">
        <v>74</v>
      </c>
      <c r="AD414" t="s">
        <v>74</v>
      </c>
      <c r="AE414" t="s">
        <v>74</v>
      </c>
      <c r="AF414" t="s">
        <v>74</v>
      </c>
      <c r="AG414">
        <v>41</v>
      </c>
      <c r="AH414">
        <v>11</v>
      </c>
      <c r="AI414">
        <v>12</v>
      </c>
      <c r="AJ414">
        <v>0</v>
      </c>
      <c r="AK414">
        <v>5</v>
      </c>
      <c r="AL414" t="s">
        <v>79</v>
      </c>
      <c r="AM414" t="s">
        <v>80</v>
      </c>
      <c r="AN414" t="s">
        <v>81</v>
      </c>
      <c r="AO414" t="s">
        <v>3542</v>
      </c>
      <c r="AP414" t="s">
        <v>74</v>
      </c>
      <c r="AQ414" t="s">
        <v>74</v>
      </c>
      <c r="AR414" t="s">
        <v>3543</v>
      </c>
      <c r="AS414" t="s">
        <v>3544</v>
      </c>
      <c r="AT414" t="s">
        <v>5712</v>
      </c>
      <c r="AU414">
        <v>2001</v>
      </c>
      <c r="AV414">
        <v>48</v>
      </c>
      <c r="AW414">
        <v>7</v>
      </c>
      <c r="AX414" t="s">
        <v>74</v>
      </c>
      <c r="AY414" t="s">
        <v>74</v>
      </c>
      <c r="AZ414" t="s">
        <v>74</v>
      </c>
      <c r="BA414" t="s">
        <v>74</v>
      </c>
      <c r="BB414">
        <v>1627</v>
      </c>
      <c r="BC414">
        <v>1649</v>
      </c>
      <c r="BD414" t="s">
        <v>74</v>
      </c>
      <c r="BE414" t="s">
        <v>5863</v>
      </c>
      <c r="BF414" t="str">
        <f>HYPERLINK("http://dx.doi.org/10.1016/S0967-0637(00)00088-1","http://dx.doi.org/10.1016/S0967-0637(00)00088-1")</f>
        <v>http://dx.doi.org/10.1016/S0967-0637(00)00088-1</v>
      </c>
      <c r="BG414" t="s">
        <v>74</v>
      </c>
      <c r="BH414" t="s">
        <v>74</v>
      </c>
      <c r="BI414">
        <v>23</v>
      </c>
      <c r="BJ414" t="s">
        <v>668</v>
      </c>
      <c r="BK414" t="s">
        <v>88</v>
      </c>
      <c r="BL414" t="s">
        <v>668</v>
      </c>
      <c r="BM414" t="s">
        <v>5854</v>
      </c>
      <c r="BN414" t="s">
        <v>74</v>
      </c>
      <c r="BO414" t="s">
        <v>74</v>
      </c>
      <c r="BP414" t="s">
        <v>74</v>
      </c>
      <c r="BQ414" t="s">
        <v>74</v>
      </c>
      <c r="BR414" t="s">
        <v>91</v>
      </c>
      <c r="BS414" t="s">
        <v>5864</v>
      </c>
      <c r="BT414" t="str">
        <f>HYPERLINK("https%3A%2F%2Fwww.webofscience.com%2Fwos%2Fwoscc%2Ffull-record%2FWOS:000168499400004","View Full Record in Web of Science")</f>
        <v>View Full Record in Web of Science</v>
      </c>
    </row>
    <row r="415" spans="1:72" x14ac:dyDescent="0.15">
      <c r="A415" t="s">
        <v>72</v>
      </c>
      <c r="B415" t="s">
        <v>5865</v>
      </c>
      <c r="C415" t="s">
        <v>74</v>
      </c>
      <c r="D415" t="s">
        <v>74</v>
      </c>
      <c r="E415" t="s">
        <v>74</v>
      </c>
      <c r="F415" t="s">
        <v>5865</v>
      </c>
      <c r="G415" t="s">
        <v>74</v>
      </c>
      <c r="H415" t="s">
        <v>74</v>
      </c>
      <c r="I415" t="s">
        <v>5866</v>
      </c>
      <c r="J415" t="s">
        <v>3533</v>
      </c>
      <c r="K415" t="s">
        <v>74</v>
      </c>
      <c r="L415" t="s">
        <v>74</v>
      </c>
      <c r="M415" t="s">
        <v>77</v>
      </c>
      <c r="N415" t="s">
        <v>120</v>
      </c>
      <c r="O415" t="s">
        <v>74</v>
      </c>
      <c r="P415" t="s">
        <v>74</v>
      </c>
      <c r="Q415" t="s">
        <v>74</v>
      </c>
      <c r="R415" t="s">
        <v>74</v>
      </c>
      <c r="S415" t="s">
        <v>74</v>
      </c>
      <c r="T415" t="s">
        <v>5867</v>
      </c>
      <c r="U415" t="s">
        <v>5868</v>
      </c>
      <c r="V415" t="s">
        <v>5869</v>
      </c>
      <c r="W415" t="s">
        <v>5870</v>
      </c>
      <c r="X415" t="s">
        <v>1452</v>
      </c>
      <c r="Y415" t="s">
        <v>527</v>
      </c>
      <c r="Z415" t="s">
        <v>5871</v>
      </c>
      <c r="AA415" t="s">
        <v>74</v>
      </c>
      <c r="AB415" t="s">
        <v>5872</v>
      </c>
      <c r="AC415" t="s">
        <v>74</v>
      </c>
      <c r="AD415" t="s">
        <v>74</v>
      </c>
      <c r="AE415" t="s">
        <v>74</v>
      </c>
      <c r="AF415" t="s">
        <v>74</v>
      </c>
      <c r="AG415">
        <v>40</v>
      </c>
      <c r="AH415">
        <v>56</v>
      </c>
      <c r="AI415">
        <v>56</v>
      </c>
      <c r="AJ415">
        <v>0</v>
      </c>
      <c r="AK415">
        <v>6</v>
      </c>
      <c r="AL415" t="s">
        <v>79</v>
      </c>
      <c r="AM415" t="s">
        <v>80</v>
      </c>
      <c r="AN415" t="s">
        <v>81</v>
      </c>
      <c r="AO415" t="s">
        <v>3542</v>
      </c>
      <c r="AP415" t="s">
        <v>5873</v>
      </c>
      <c r="AQ415" t="s">
        <v>74</v>
      </c>
      <c r="AR415" t="s">
        <v>3543</v>
      </c>
      <c r="AS415" t="s">
        <v>3544</v>
      </c>
      <c r="AT415" t="s">
        <v>5712</v>
      </c>
      <c r="AU415">
        <v>2001</v>
      </c>
      <c r="AV415">
        <v>48</v>
      </c>
      <c r="AW415">
        <v>7</v>
      </c>
      <c r="AX415" t="s">
        <v>74</v>
      </c>
      <c r="AY415" t="s">
        <v>74</v>
      </c>
      <c r="AZ415" t="s">
        <v>74</v>
      </c>
      <c r="BA415" t="s">
        <v>74</v>
      </c>
      <c r="BB415">
        <v>1687</v>
      </c>
      <c r="BC415">
        <v>1708</v>
      </c>
      <c r="BD415" t="s">
        <v>74</v>
      </c>
      <c r="BE415" t="s">
        <v>5874</v>
      </c>
      <c r="BF415" t="str">
        <f>HYPERLINK("http://dx.doi.org/10.1016/S0967-0637(00)00106-0","http://dx.doi.org/10.1016/S0967-0637(00)00106-0")</f>
        <v>http://dx.doi.org/10.1016/S0967-0637(00)00106-0</v>
      </c>
      <c r="BG415" t="s">
        <v>74</v>
      </c>
      <c r="BH415" t="s">
        <v>74</v>
      </c>
      <c r="BI415">
        <v>22</v>
      </c>
      <c r="BJ415" t="s">
        <v>668</v>
      </c>
      <c r="BK415" t="s">
        <v>88</v>
      </c>
      <c r="BL415" t="s">
        <v>668</v>
      </c>
      <c r="BM415" t="s">
        <v>5854</v>
      </c>
      <c r="BN415" t="s">
        <v>74</v>
      </c>
      <c r="BO415" t="s">
        <v>74</v>
      </c>
      <c r="BP415" t="s">
        <v>74</v>
      </c>
      <c r="BQ415" t="s">
        <v>74</v>
      </c>
      <c r="BR415" t="s">
        <v>91</v>
      </c>
      <c r="BS415" t="s">
        <v>5875</v>
      </c>
      <c r="BT415" t="str">
        <f>HYPERLINK("https%3A%2F%2Fwww.webofscience.com%2Fwos%2Fwoscc%2Ffull-record%2FWOS:000168499400007","View Full Record in Web of Science")</f>
        <v>View Full Record in Web of Science</v>
      </c>
    </row>
    <row r="416" spans="1:72" x14ac:dyDescent="0.15">
      <c r="A416" t="s">
        <v>72</v>
      </c>
      <c r="B416" t="s">
        <v>5876</v>
      </c>
      <c r="C416" t="s">
        <v>74</v>
      </c>
      <c r="D416" t="s">
        <v>74</v>
      </c>
      <c r="E416" t="s">
        <v>74</v>
      </c>
      <c r="F416" t="s">
        <v>5876</v>
      </c>
      <c r="G416" t="s">
        <v>74</v>
      </c>
      <c r="H416" t="s">
        <v>74</v>
      </c>
      <c r="I416" t="s">
        <v>5877</v>
      </c>
      <c r="J416" t="s">
        <v>5878</v>
      </c>
      <c r="K416" t="s">
        <v>74</v>
      </c>
      <c r="L416" t="s">
        <v>74</v>
      </c>
      <c r="M416" t="s">
        <v>77</v>
      </c>
      <c r="N416" t="s">
        <v>120</v>
      </c>
      <c r="O416" t="s">
        <v>74</v>
      </c>
      <c r="P416" t="s">
        <v>74</v>
      </c>
      <c r="Q416" t="s">
        <v>74</v>
      </c>
      <c r="R416" t="s">
        <v>74</v>
      </c>
      <c r="S416" t="s">
        <v>74</v>
      </c>
      <c r="T416" t="s">
        <v>74</v>
      </c>
      <c r="U416" t="s">
        <v>5879</v>
      </c>
      <c r="V416" t="s">
        <v>74</v>
      </c>
      <c r="W416" t="s">
        <v>5880</v>
      </c>
      <c r="X416" t="s">
        <v>5881</v>
      </c>
      <c r="Y416" t="s">
        <v>5882</v>
      </c>
      <c r="Z416" t="s">
        <v>74</v>
      </c>
      <c r="AA416" t="s">
        <v>74</v>
      </c>
      <c r="AB416" t="s">
        <v>5883</v>
      </c>
      <c r="AC416" t="s">
        <v>74</v>
      </c>
      <c r="AD416" t="s">
        <v>74</v>
      </c>
      <c r="AE416" t="s">
        <v>74</v>
      </c>
      <c r="AF416" t="s">
        <v>74</v>
      </c>
      <c r="AG416">
        <v>11</v>
      </c>
      <c r="AH416">
        <v>0</v>
      </c>
      <c r="AI416">
        <v>0</v>
      </c>
      <c r="AJ416">
        <v>0</v>
      </c>
      <c r="AK416">
        <v>0</v>
      </c>
      <c r="AL416" t="s">
        <v>3678</v>
      </c>
      <c r="AM416" t="s">
        <v>3679</v>
      </c>
      <c r="AN416" t="s">
        <v>3680</v>
      </c>
      <c r="AO416" t="s">
        <v>5884</v>
      </c>
      <c r="AP416" t="s">
        <v>74</v>
      </c>
      <c r="AQ416" t="s">
        <v>74</v>
      </c>
      <c r="AR416" t="s">
        <v>5885</v>
      </c>
      <c r="AS416" t="s">
        <v>5886</v>
      </c>
      <c r="AT416" t="s">
        <v>5771</v>
      </c>
      <c r="AU416">
        <v>2001</v>
      </c>
      <c r="AV416">
        <v>379</v>
      </c>
      <c r="AW416">
        <v>6</v>
      </c>
      <c r="AX416" t="s">
        <v>74</v>
      </c>
      <c r="AY416" t="s">
        <v>74</v>
      </c>
      <c r="AZ416" t="s">
        <v>74</v>
      </c>
      <c r="BA416" t="s">
        <v>74</v>
      </c>
      <c r="BB416">
        <v>658</v>
      </c>
      <c r="BC416">
        <v>661</v>
      </c>
      <c r="BD416" t="s">
        <v>74</v>
      </c>
      <c r="BE416" t="s">
        <v>74</v>
      </c>
      <c r="BF416" t="s">
        <v>74</v>
      </c>
      <c r="BG416" t="s">
        <v>74</v>
      </c>
      <c r="BH416" t="s">
        <v>74</v>
      </c>
      <c r="BI416">
        <v>4</v>
      </c>
      <c r="BJ416" t="s">
        <v>300</v>
      </c>
      <c r="BK416" t="s">
        <v>88</v>
      </c>
      <c r="BL416" t="s">
        <v>113</v>
      </c>
      <c r="BM416" t="s">
        <v>5887</v>
      </c>
      <c r="BN416" t="s">
        <v>74</v>
      </c>
      <c r="BO416" t="s">
        <v>74</v>
      </c>
      <c r="BP416" t="s">
        <v>74</v>
      </c>
      <c r="BQ416" t="s">
        <v>74</v>
      </c>
      <c r="BR416" t="s">
        <v>91</v>
      </c>
      <c r="BS416" t="s">
        <v>5888</v>
      </c>
      <c r="BT416" t="str">
        <f>HYPERLINK("https%3A%2F%2Fwww.webofscience.com%2Fwos%2Fwoscc%2Ffull-record%2FWOS:000170565400012","View Full Record in Web of Science")</f>
        <v>View Full Record in Web of Science</v>
      </c>
    </row>
    <row r="417" spans="1:72" x14ac:dyDescent="0.15">
      <c r="A417" t="s">
        <v>72</v>
      </c>
      <c r="B417" t="s">
        <v>5889</v>
      </c>
      <c r="C417" t="s">
        <v>74</v>
      </c>
      <c r="D417" t="s">
        <v>74</v>
      </c>
      <c r="E417" t="s">
        <v>74</v>
      </c>
      <c r="F417" t="s">
        <v>5889</v>
      </c>
      <c r="G417" t="s">
        <v>74</v>
      </c>
      <c r="H417" t="s">
        <v>74</v>
      </c>
      <c r="I417" t="s">
        <v>5890</v>
      </c>
      <c r="J417" t="s">
        <v>5878</v>
      </c>
      <c r="K417" t="s">
        <v>74</v>
      </c>
      <c r="L417" t="s">
        <v>74</v>
      </c>
      <c r="M417" t="s">
        <v>77</v>
      </c>
      <c r="N417" t="s">
        <v>120</v>
      </c>
      <c r="O417" t="s">
        <v>74</v>
      </c>
      <c r="P417" t="s">
        <v>74</v>
      </c>
      <c r="Q417" t="s">
        <v>74</v>
      </c>
      <c r="R417" t="s">
        <v>74</v>
      </c>
      <c r="S417" t="s">
        <v>74</v>
      </c>
      <c r="T417" t="s">
        <v>74</v>
      </c>
      <c r="U417" t="s">
        <v>74</v>
      </c>
      <c r="V417" t="s">
        <v>74</v>
      </c>
      <c r="W417" t="s">
        <v>5891</v>
      </c>
      <c r="X417" t="s">
        <v>3743</v>
      </c>
      <c r="Y417" t="s">
        <v>5892</v>
      </c>
      <c r="Z417" t="s">
        <v>74</v>
      </c>
      <c r="AA417" t="s">
        <v>5893</v>
      </c>
      <c r="AB417" t="s">
        <v>5894</v>
      </c>
      <c r="AC417" t="s">
        <v>74</v>
      </c>
      <c r="AD417" t="s">
        <v>74</v>
      </c>
      <c r="AE417" t="s">
        <v>74</v>
      </c>
      <c r="AF417" t="s">
        <v>74</v>
      </c>
      <c r="AG417">
        <v>14</v>
      </c>
      <c r="AH417">
        <v>24</v>
      </c>
      <c r="AI417">
        <v>26</v>
      </c>
      <c r="AJ417">
        <v>0</v>
      </c>
      <c r="AK417">
        <v>5</v>
      </c>
      <c r="AL417" t="s">
        <v>3678</v>
      </c>
      <c r="AM417" t="s">
        <v>3679</v>
      </c>
      <c r="AN417" t="s">
        <v>3680</v>
      </c>
      <c r="AO417" t="s">
        <v>5884</v>
      </c>
      <c r="AP417" t="s">
        <v>74</v>
      </c>
      <c r="AQ417" t="s">
        <v>74</v>
      </c>
      <c r="AR417" t="s">
        <v>5885</v>
      </c>
      <c r="AS417" t="s">
        <v>5886</v>
      </c>
      <c r="AT417" t="s">
        <v>5771</v>
      </c>
      <c r="AU417">
        <v>2001</v>
      </c>
      <c r="AV417">
        <v>379</v>
      </c>
      <c r="AW417">
        <v>6</v>
      </c>
      <c r="AX417" t="s">
        <v>74</v>
      </c>
      <c r="AY417" t="s">
        <v>74</v>
      </c>
      <c r="AZ417" t="s">
        <v>74</v>
      </c>
      <c r="BA417" t="s">
        <v>74</v>
      </c>
      <c r="BB417">
        <v>734</v>
      </c>
      <c r="BC417">
        <v>738</v>
      </c>
      <c r="BD417" t="s">
        <v>74</v>
      </c>
      <c r="BE417" t="s">
        <v>74</v>
      </c>
      <c r="BF417" t="s">
        <v>74</v>
      </c>
      <c r="BG417" t="s">
        <v>74</v>
      </c>
      <c r="BH417" t="s">
        <v>74</v>
      </c>
      <c r="BI417">
        <v>5</v>
      </c>
      <c r="BJ417" t="s">
        <v>300</v>
      </c>
      <c r="BK417" t="s">
        <v>88</v>
      </c>
      <c r="BL417" t="s">
        <v>113</v>
      </c>
      <c r="BM417" t="s">
        <v>5887</v>
      </c>
      <c r="BN417" t="s">
        <v>74</v>
      </c>
      <c r="BO417" t="s">
        <v>74</v>
      </c>
      <c r="BP417" t="s">
        <v>74</v>
      </c>
      <c r="BQ417" t="s">
        <v>74</v>
      </c>
      <c r="BR417" t="s">
        <v>91</v>
      </c>
      <c r="BS417" t="s">
        <v>5895</v>
      </c>
      <c r="BT417" t="str">
        <f>HYPERLINK("https%3A%2F%2Fwww.webofscience.com%2Fwos%2Fwoscc%2Ffull-record%2FWOS:000170565400029","View Full Record in Web of Science")</f>
        <v>View Full Record in Web of Science</v>
      </c>
    </row>
    <row r="418" spans="1:72" x14ac:dyDescent="0.15">
      <c r="A418" t="s">
        <v>72</v>
      </c>
      <c r="B418" t="s">
        <v>5896</v>
      </c>
      <c r="C418" t="s">
        <v>74</v>
      </c>
      <c r="D418" t="s">
        <v>74</v>
      </c>
      <c r="E418" t="s">
        <v>74</v>
      </c>
      <c r="F418" t="s">
        <v>5896</v>
      </c>
      <c r="G418" t="s">
        <v>74</v>
      </c>
      <c r="H418" t="s">
        <v>74</v>
      </c>
      <c r="I418" t="s">
        <v>5897</v>
      </c>
      <c r="J418" t="s">
        <v>5878</v>
      </c>
      <c r="K418" t="s">
        <v>74</v>
      </c>
      <c r="L418" t="s">
        <v>74</v>
      </c>
      <c r="M418" t="s">
        <v>77</v>
      </c>
      <c r="N418" t="s">
        <v>120</v>
      </c>
      <c r="O418" t="s">
        <v>74</v>
      </c>
      <c r="P418" t="s">
        <v>74</v>
      </c>
      <c r="Q418" t="s">
        <v>74</v>
      </c>
      <c r="R418" t="s">
        <v>74</v>
      </c>
      <c r="S418" t="s">
        <v>74</v>
      </c>
      <c r="T418" t="s">
        <v>74</v>
      </c>
      <c r="U418" t="s">
        <v>5898</v>
      </c>
      <c r="V418" t="s">
        <v>74</v>
      </c>
      <c r="W418" t="s">
        <v>5899</v>
      </c>
      <c r="X418" t="s">
        <v>5900</v>
      </c>
      <c r="Y418" t="s">
        <v>5901</v>
      </c>
      <c r="Z418" t="s">
        <v>74</v>
      </c>
      <c r="AA418" t="s">
        <v>5902</v>
      </c>
      <c r="AB418" t="s">
        <v>5903</v>
      </c>
      <c r="AC418" t="s">
        <v>74</v>
      </c>
      <c r="AD418" t="s">
        <v>74</v>
      </c>
      <c r="AE418" t="s">
        <v>74</v>
      </c>
      <c r="AF418" t="s">
        <v>74</v>
      </c>
      <c r="AG418">
        <v>11</v>
      </c>
      <c r="AH418">
        <v>6</v>
      </c>
      <c r="AI418">
        <v>6</v>
      </c>
      <c r="AJ418">
        <v>0</v>
      </c>
      <c r="AK418">
        <v>1</v>
      </c>
      <c r="AL418" t="s">
        <v>3678</v>
      </c>
      <c r="AM418" t="s">
        <v>3679</v>
      </c>
      <c r="AN418" t="s">
        <v>3680</v>
      </c>
      <c r="AO418" t="s">
        <v>5884</v>
      </c>
      <c r="AP418" t="s">
        <v>74</v>
      </c>
      <c r="AQ418" t="s">
        <v>74</v>
      </c>
      <c r="AR418" t="s">
        <v>5885</v>
      </c>
      <c r="AS418" t="s">
        <v>5886</v>
      </c>
      <c r="AT418" t="s">
        <v>5771</v>
      </c>
      <c r="AU418">
        <v>2001</v>
      </c>
      <c r="AV418">
        <v>379</v>
      </c>
      <c r="AW418">
        <v>6</v>
      </c>
      <c r="AX418" t="s">
        <v>74</v>
      </c>
      <c r="AY418" t="s">
        <v>74</v>
      </c>
      <c r="AZ418" t="s">
        <v>74</v>
      </c>
      <c r="BA418" t="s">
        <v>74</v>
      </c>
      <c r="BB418">
        <v>739</v>
      </c>
      <c r="BC418">
        <v>743</v>
      </c>
      <c r="BD418" t="s">
        <v>74</v>
      </c>
      <c r="BE418" t="s">
        <v>74</v>
      </c>
      <c r="BF418" t="s">
        <v>74</v>
      </c>
      <c r="BG418" t="s">
        <v>74</v>
      </c>
      <c r="BH418" t="s">
        <v>74</v>
      </c>
      <c r="BI418">
        <v>5</v>
      </c>
      <c r="BJ418" t="s">
        <v>300</v>
      </c>
      <c r="BK418" t="s">
        <v>88</v>
      </c>
      <c r="BL418" t="s">
        <v>113</v>
      </c>
      <c r="BM418" t="s">
        <v>5887</v>
      </c>
      <c r="BN418" t="s">
        <v>74</v>
      </c>
      <c r="BO418" t="s">
        <v>74</v>
      </c>
      <c r="BP418" t="s">
        <v>74</v>
      </c>
      <c r="BQ418" t="s">
        <v>74</v>
      </c>
      <c r="BR418" t="s">
        <v>91</v>
      </c>
      <c r="BS418" t="s">
        <v>5904</v>
      </c>
      <c r="BT418" t="str">
        <f>HYPERLINK("https%3A%2F%2Fwww.webofscience.com%2Fwos%2Fwoscc%2Ffull-record%2FWOS:000170565400030","View Full Record in Web of Science")</f>
        <v>View Full Record in Web of Science</v>
      </c>
    </row>
    <row r="419" spans="1:72" x14ac:dyDescent="0.15">
      <c r="A419" t="s">
        <v>72</v>
      </c>
      <c r="B419" t="s">
        <v>5905</v>
      </c>
      <c r="C419" t="s">
        <v>74</v>
      </c>
      <c r="D419" t="s">
        <v>74</v>
      </c>
      <c r="E419" t="s">
        <v>74</v>
      </c>
      <c r="F419" t="s">
        <v>5905</v>
      </c>
      <c r="G419" t="s">
        <v>74</v>
      </c>
      <c r="H419" t="s">
        <v>74</v>
      </c>
      <c r="I419" t="s">
        <v>5906</v>
      </c>
      <c r="J419" t="s">
        <v>5907</v>
      </c>
      <c r="K419" t="s">
        <v>74</v>
      </c>
      <c r="L419" t="s">
        <v>74</v>
      </c>
      <c r="M419" t="s">
        <v>77</v>
      </c>
      <c r="N419" t="s">
        <v>120</v>
      </c>
      <c r="O419" t="s">
        <v>74</v>
      </c>
      <c r="P419" t="s">
        <v>74</v>
      </c>
      <c r="Q419" t="s">
        <v>74</v>
      </c>
      <c r="R419" t="s">
        <v>74</v>
      </c>
      <c r="S419" t="s">
        <v>74</v>
      </c>
      <c r="T419" t="s">
        <v>74</v>
      </c>
      <c r="U419" t="s">
        <v>5908</v>
      </c>
      <c r="V419" t="s">
        <v>5909</v>
      </c>
      <c r="W419" t="s">
        <v>5910</v>
      </c>
      <c r="X419" t="s">
        <v>5911</v>
      </c>
      <c r="Y419" t="s">
        <v>5912</v>
      </c>
      <c r="Z419" t="s">
        <v>5913</v>
      </c>
      <c r="AA419" t="s">
        <v>5914</v>
      </c>
      <c r="AB419" t="s">
        <v>5915</v>
      </c>
      <c r="AC419" t="s">
        <v>74</v>
      </c>
      <c r="AD419" t="s">
        <v>74</v>
      </c>
      <c r="AE419" t="s">
        <v>74</v>
      </c>
      <c r="AF419" t="s">
        <v>74</v>
      </c>
      <c r="AG419">
        <v>34</v>
      </c>
      <c r="AH419">
        <v>106</v>
      </c>
      <c r="AI419">
        <v>118</v>
      </c>
      <c r="AJ419">
        <v>1</v>
      </c>
      <c r="AK419">
        <v>22</v>
      </c>
      <c r="AL419" t="s">
        <v>1247</v>
      </c>
      <c r="AM419" t="s">
        <v>1248</v>
      </c>
      <c r="AN419" t="s">
        <v>1249</v>
      </c>
      <c r="AO419" t="s">
        <v>5916</v>
      </c>
      <c r="AP419" t="s">
        <v>5917</v>
      </c>
      <c r="AQ419" t="s">
        <v>74</v>
      </c>
      <c r="AR419" t="s">
        <v>5918</v>
      </c>
      <c r="AS419" t="s">
        <v>5919</v>
      </c>
      <c r="AT419" t="s">
        <v>5712</v>
      </c>
      <c r="AU419">
        <v>2001</v>
      </c>
      <c r="AV419">
        <v>3</v>
      </c>
      <c r="AW419">
        <v>7</v>
      </c>
      <c r="AX419" t="s">
        <v>74</v>
      </c>
      <c r="AY419" t="s">
        <v>74</v>
      </c>
      <c r="AZ419" t="s">
        <v>74</v>
      </c>
      <c r="BA419" t="s">
        <v>74</v>
      </c>
      <c r="BB419">
        <v>471</v>
      </c>
      <c r="BC419">
        <v>479</v>
      </c>
      <c r="BD419" t="s">
        <v>74</v>
      </c>
      <c r="BE419" t="s">
        <v>5920</v>
      </c>
      <c r="BF419" t="str">
        <f>HYPERLINK("http://dx.doi.org/10.1046/j.1462-2920.2001.00217.x","http://dx.doi.org/10.1046/j.1462-2920.2001.00217.x")</f>
        <v>http://dx.doi.org/10.1046/j.1462-2920.2001.00217.x</v>
      </c>
      <c r="BG419" t="s">
        <v>74</v>
      </c>
      <c r="BH419" t="s">
        <v>74</v>
      </c>
      <c r="BI419">
        <v>9</v>
      </c>
      <c r="BJ419" t="s">
        <v>1196</v>
      </c>
      <c r="BK419" t="s">
        <v>88</v>
      </c>
      <c r="BL419" t="s">
        <v>1196</v>
      </c>
      <c r="BM419" t="s">
        <v>5921</v>
      </c>
      <c r="BN419">
        <v>11553237</v>
      </c>
      <c r="BO419" t="s">
        <v>74</v>
      </c>
      <c r="BP419" t="s">
        <v>74</v>
      </c>
      <c r="BQ419" t="s">
        <v>74</v>
      </c>
      <c r="BR419" t="s">
        <v>91</v>
      </c>
      <c r="BS419" t="s">
        <v>5922</v>
      </c>
      <c r="BT419" t="str">
        <f>HYPERLINK("https%3A%2F%2Fwww.webofscience.com%2Fwos%2Fwoscc%2Ffull-record%2FWOS:000171022900006","View Full Record in Web of Science")</f>
        <v>View Full Record in Web of Science</v>
      </c>
    </row>
    <row r="420" spans="1:72" x14ac:dyDescent="0.15">
      <c r="A420" t="s">
        <v>72</v>
      </c>
      <c r="B420" t="s">
        <v>5923</v>
      </c>
      <c r="C420" t="s">
        <v>74</v>
      </c>
      <c r="D420" t="s">
        <v>74</v>
      </c>
      <c r="E420" t="s">
        <v>74</v>
      </c>
      <c r="F420" t="s">
        <v>5923</v>
      </c>
      <c r="G420" t="s">
        <v>74</v>
      </c>
      <c r="H420" t="s">
        <v>74</v>
      </c>
      <c r="I420" t="s">
        <v>5924</v>
      </c>
      <c r="J420" t="s">
        <v>4984</v>
      </c>
      <c r="K420" t="s">
        <v>74</v>
      </c>
      <c r="L420" t="s">
        <v>74</v>
      </c>
      <c r="M420" t="s">
        <v>77</v>
      </c>
      <c r="N420" t="s">
        <v>120</v>
      </c>
      <c r="O420" t="s">
        <v>74</v>
      </c>
      <c r="P420" t="s">
        <v>74</v>
      </c>
      <c r="Q420" t="s">
        <v>74</v>
      </c>
      <c r="R420" t="s">
        <v>74</v>
      </c>
      <c r="S420" t="s">
        <v>74</v>
      </c>
      <c r="T420" t="s">
        <v>5925</v>
      </c>
      <c r="U420" t="s">
        <v>5926</v>
      </c>
      <c r="V420" t="s">
        <v>5927</v>
      </c>
      <c r="W420" t="s">
        <v>5928</v>
      </c>
      <c r="X420" t="s">
        <v>5929</v>
      </c>
      <c r="Y420" t="s">
        <v>5930</v>
      </c>
      <c r="Z420" t="s">
        <v>74</v>
      </c>
      <c r="AA420" t="s">
        <v>5931</v>
      </c>
      <c r="AB420" t="s">
        <v>5932</v>
      </c>
      <c r="AC420" t="s">
        <v>74</v>
      </c>
      <c r="AD420" t="s">
        <v>74</v>
      </c>
      <c r="AE420" t="s">
        <v>74</v>
      </c>
      <c r="AF420" t="s">
        <v>74</v>
      </c>
      <c r="AG420">
        <v>35</v>
      </c>
      <c r="AH420">
        <v>112</v>
      </c>
      <c r="AI420">
        <v>125</v>
      </c>
      <c r="AJ420">
        <v>0</v>
      </c>
      <c r="AK420">
        <v>18</v>
      </c>
      <c r="AL420" t="s">
        <v>488</v>
      </c>
      <c r="AM420" t="s">
        <v>350</v>
      </c>
      <c r="AN420" t="s">
        <v>489</v>
      </c>
      <c r="AO420" t="s">
        <v>4989</v>
      </c>
      <c r="AP420" t="s">
        <v>74</v>
      </c>
      <c r="AQ420" t="s">
        <v>74</v>
      </c>
      <c r="AR420" t="s">
        <v>4990</v>
      </c>
      <c r="AS420" t="s">
        <v>4991</v>
      </c>
      <c r="AT420" t="s">
        <v>5712</v>
      </c>
      <c r="AU420">
        <v>2001</v>
      </c>
      <c r="AV420">
        <v>36</v>
      </c>
      <c r="AW420" t="s">
        <v>3507</v>
      </c>
      <c r="AX420" t="s">
        <v>74</v>
      </c>
      <c r="AY420" t="s">
        <v>74</v>
      </c>
      <c r="AZ420" t="s">
        <v>74</v>
      </c>
      <c r="BA420" t="s">
        <v>74</v>
      </c>
      <c r="BB420">
        <v>193</v>
      </c>
      <c r="BC420">
        <v>202</v>
      </c>
      <c r="BD420" t="s">
        <v>74</v>
      </c>
      <c r="BE420" t="s">
        <v>5933</v>
      </c>
      <c r="BF420" t="str">
        <f>HYPERLINK("http://dx.doi.org/10.1016/S0168-6496(01)00133-7","http://dx.doi.org/10.1016/S0168-6496(01)00133-7")</f>
        <v>http://dx.doi.org/10.1016/S0168-6496(01)00133-7</v>
      </c>
      <c r="BG420" t="s">
        <v>74</v>
      </c>
      <c r="BH420" t="s">
        <v>74</v>
      </c>
      <c r="BI420">
        <v>10</v>
      </c>
      <c r="BJ420" t="s">
        <v>1196</v>
      </c>
      <c r="BK420" t="s">
        <v>88</v>
      </c>
      <c r="BL420" t="s">
        <v>1196</v>
      </c>
      <c r="BM420" t="s">
        <v>5934</v>
      </c>
      <c r="BN420">
        <v>11451524</v>
      </c>
      <c r="BO420" t="s">
        <v>74</v>
      </c>
      <c r="BP420" t="s">
        <v>74</v>
      </c>
      <c r="BQ420" t="s">
        <v>74</v>
      </c>
      <c r="BR420" t="s">
        <v>91</v>
      </c>
      <c r="BS420" t="s">
        <v>5935</v>
      </c>
      <c r="BT420" t="str">
        <f>HYPERLINK("https%3A%2F%2Fwww.webofscience.com%2Fwos%2Fwoscc%2Ffull-record%2FWOS:000170051100013","View Full Record in Web of Science")</f>
        <v>View Full Record in Web of Science</v>
      </c>
    </row>
    <row r="421" spans="1:72" x14ac:dyDescent="0.15">
      <c r="A421" t="s">
        <v>72</v>
      </c>
      <c r="B421" t="s">
        <v>5936</v>
      </c>
      <c r="C421" t="s">
        <v>74</v>
      </c>
      <c r="D421" t="s">
        <v>74</v>
      </c>
      <c r="E421" t="s">
        <v>74</v>
      </c>
      <c r="F421" t="s">
        <v>5936</v>
      </c>
      <c r="G421" t="s">
        <v>74</v>
      </c>
      <c r="H421" t="s">
        <v>74</v>
      </c>
      <c r="I421" t="s">
        <v>5937</v>
      </c>
      <c r="J421" t="s">
        <v>5938</v>
      </c>
      <c r="K421" t="s">
        <v>74</v>
      </c>
      <c r="L421" t="s">
        <v>74</v>
      </c>
      <c r="M421" t="s">
        <v>77</v>
      </c>
      <c r="N421" t="s">
        <v>120</v>
      </c>
      <c r="O421" t="s">
        <v>74</v>
      </c>
      <c r="P421" t="s">
        <v>74</v>
      </c>
      <c r="Q421" t="s">
        <v>74</v>
      </c>
      <c r="R421" t="s">
        <v>74</v>
      </c>
      <c r="S421" t="s">
        <v>74</v>
      </c>
      <c r="T421" t="s">
        <v>5939</v>
      </c>
      <c r="U421" t="s">
        <v>74</v>
      </c>
      <c r="V421" t="s">
        <v>5940</v>
      </c>
      <c r="W421" t="s">
        <v>5941</v>
      </c>
      <c r="X421" t="s">
        <v>5942</v>
      </c>
      <c r="Y421" t="s">
        <v>5943</v>
      </c>
      <c r="Z421" t="s">
        <v>74</v>
      </c>
      <c r="AA421" t="s">
        <v>74</v>
      </c>
      <c r="AB421" t="s">
        <v>74</v>
      </c>
      <c r="AC421" t="s">
        <v>74</v>
      </c>
      <c r="AD421" t="s">
        <v>74</v>
      </c>
      <c r="AE421" t="s">
        <v>74</v>
      </c>
      <c r="AF421" t="s">
        <v>74</v>
      </c>
      <c r="AG421">
        <v>17</v>
      </c>
      <c r="AH421">
        <v>9</v>
      </c>
      <c r="AI421">
        <v>10</v>
      </c>
      <c r="AJ421">
        <v>0</v>
      </c>
      <c r="AK421">
        <v>5</v>
      </c>
      <c r="AL421" t="s">
        <v>488</v>
      </c>
      <c r="AM421" t="s">
        <v>350</v>
      </c>
      <c r="AN421" t="s">
        <v>489</v>
      </c>
      <c r="AO421" t="s">
        <v>5944</v>
      </c>
      <c r="AP421" t="s">
        <v>74</v>
      </c>
      <c r="AQ421" t="s">
        <v>74</v>
      </c>
      <c r="AR421" t="s">
        <v>5945</v>
      </c>
      <c r="AS421" t="s">
        <v>5946</v>
      </c>
      <c r="AT421" t="s">
        <v>5712</v>
      </c>
      <c r="AU421">
        <v>2001</v>
      </c>
      <c r="AV421">
        <v>52</v>
      </c>
      <c r="AW421">
        <v>3</v>
      </c>
      <c r="AX421" t="s">
        <v>74</v>
      </c>
      <c r="AY421" t="s">
        <v>74</v>
      </c>
      <c r="AZ421" t="s">
        <v>74</v>
      </c>
      <c r="BA421" t="s">
        <v>74</v>
      </c>
      <c r="BB421">
        <v>217</v>
      </c>
      <c r="BC421">
        <v>225</v>
      </c>
      <c r="BD421" t="s">
        <v>74</v>
      </c>
      <c r="BE421" t="s">
        <v>5947</v>
      </c>
      <c r="BF421" t="str">
        <f>HYPERLINK("http://dx.doi.org/10.1016/S0165-7836(00)00263-0","http://dx.doi.org/10.1016/S0165-7836(00)00263-0")</f>
        <v>http://dx.doi.org/10.1016/S0165-7836(00)00263-0</v>
      </c>
      <c r="BG421" t="s">
        <v>74</v>
      </c>
      <c r="BH421" t="s">
        <v>74</v>
      </c>
      <c r="BI421">
        <v>9</v>
      </c>
      <c r="BJ421" t="s">
        <v>5948</v>
      </c>
      <c r="BK421" t="s">
        <v>88</v>
      </c>
      <c r="BL421" t="s">
        <v>5948</v>
      </c>
      <c r="BM421" t="s">
        <v>5949</v>
      </c>
      <c r="BN421" t="s">
        <v>74</v>
      </c>
      <c r="BO421" t="s">
        <v>74</v>
      </c>
      <c r="BP421" t="s">
        <v>74</v>
      </c>
      <c r="BQ421" t="s">
        <v>74</v>
      </c>
      <c r="BR421" t="s">
        <v>91</v>
      </c>
      <c r="BS421" t="s">
        <v>5950</v>
      </c>
      <c r="BT421" t="str">
        <f>HYPERLINK("https%3A%2F%2Fwww.webofscience.com%2Fwos%2Fwoscc%2Ffull-record%2FWOS:000169670500007","View Full Record in Web of Science")</f>
        <v>View Full Record in Web of Science</v>
      </c>
    </row>
    <row r="422" spans="1:72" x14ac:dyDescent="0.15">
      <c r="A422" t="s">
        <v>72</v>
      </c>
      <c r="B422" t="s">
        <v>5951</v>
      </c>
      <c r="C422" t="s">
        <v>74</v>
      </c>
      <c r="D422" t="s">
        <v>74</v>
      </c>
      <c r="E422" t="s">
        <v>74</v>
      </c>
      <c r="F422" t="s">
        <v>5951</v>
      </c>
      <c r="G422" t="s">
        <v>74</v>
      </c>
      <c r="H422" t="s">
        <v>74</v>
      </c>
      <c r="I422" t="s">
        <v>5952</v>
      </c>
      <c r="J422" t="s">
        <v>5953</v>
      </c>
      <c r="K422" t="s">
        <v>74</v>
      </c>
      <c r="L422" t="s">
        <v>74</v>
      </c>
      <c r="M422" t="s">
        <v>77</v>
      </c>
      <c r="N422" t="s">
        <v>120</v>
      </c>
      <c r="O422" t="s">
        <v>74</v>
      </c>
      <c r="P422" t="s">
        <v>74</v>
      </c>
      <c r="Q422" t="s">
        <v>74</v>
      </c>
      <c r="R422" t="s">
        <v>74</v>
      </c>
      <c r="S422" t="s">
        <v>74</v>
      </c>
      <c r="T422" t="s">
        <v>5954</v>
      </c>
      <c r="U422" t="s">
        <v>5955</v>
      </c>
      <c r="V422" t="s">
        <v>5956</v>
      </c>
      <c r="W422" t="s">
        <v>461</v>
      </c>
      <c r="X422" t="s">
        <v>462</v>
      </c>
      <c r="Y422" t="s">
        <v>3374</v>
      </c>
      <c r="Z422" t="s">
        <v>5957</v>
      </c>
      <c r="AA422" t="s">
        <v>5958</v>
      </c>
      <c r="AB422" t="s">
        <v>74</v>
      </c>
      <c r="AC422" t="s">
        <v>74</v>
      </c>
      <c r="AD422" t="s">
        <v>74</v>
      </c>
      <c r="AE422" t="s">
        <v>74</v>
      </c>
      <c r="AF422" t="s">
        <v>74</v>
      </c>
      <c r="AG422">
        <v>91</v>
      </c>
      <c r="AH422">
        <v>59</v>
      </c>
      <c r="AI422">
        <v>63</v>
      </c>
      <c r="AJ422">
        <v>0</v>
      </c>
      <c r="AK422">
        <v>14</v>
      </c>
      <c r="AL422" t="s">
        <v>2311</v>
      </c>
      <c r="AM422" t="s">
        <v>792</v>
      </c>
      <c r="AN422" t="s">
        <v>2312</v>
      </c>
      <c r="AO422" t="s">
        <v>5959</v>
      </c>
      <c r="AP422" t="s">
        <v>5960</v>
      </c>
      <c r="AQ422" t="s">
        <v>74</v>
      </c>
      <c r="AR422" t="s">
        <v>5961</v>
      </c>
      <c r="AS422" t="s">
        <v>5962</v>
      </c>
      <c r="AT422" t="s">
        <v>5712</v>
      </c>
      <c r="AU422">
        <v>2001</v>
      </c>
      <c r="AV422">
        <v>113</v>
      </c>
      <c r="AW422">
        <v>7</v>
      </c>
      <c r="AX422" t="s">
        <v>74</v>
      </c>
      <c r="AY422" t="s">
        <v>74</v>
      </c>
      <c r="AZ422" t="s">
        <v>74</v>
      </c>
      <c r="BA422" t="s">
        <v>74</v>
      </c>
      <c r="BB422">
        <v>939</v>
      </c>
      <c r="BC422">
        <v>958</v>
      </c>
      <c r="BD422" t="s">
        <v>74</v>
      </c>
      <c r="BE422" t="s">
        <v>5963</v>
      </c>
      <c r="BF422" t="str">
        <f>HYPERLINK("http://dx.doi.org/10.1130/0016-7606(2001)113&lt;0939:THOTEM&gt;2.0.CO;2","http://dx.doi.org/10.1130/0016-7606(2001)113&lt;0939:THOTEM&gt;2.0.CO;2")</f>
        <v>http://dx.doi.org/10.1130/0016-7606(2001)113&lt;0939:THOTEM&gt;2.0.CO;2</v>
      </c>
      <c r="BG422" t="s">
        <v>74</v>
      </c>
      <c r="BH422" t="s">
        <v>74</v>
      </c>
      <c r="BI422">
        <v>20</v>
      </c>
      <c r="BJ422" t="s">
        <v>300</v>
      </c>
      <c r="BK422" t="s">
        <v>88</v>
      </c>
      <c r="BL422" t="s">
        <v>113</v>
      </c>
      <c r="BM422" t="s">
        <v>5964</v>
      </c>
      <c r="BN422" t="s">
        <v>74</v>
      </c>
      <c r="BO422" t="s">
        <v>74</v>
      </c>
      <c r="BP422" t="s">
        <v>74</v>
      </c>
      <c r="BQ422" t="s">
        <v>74</v>
      </c>
      <c r="BR422" t="s">
        <v>91</v>
      </c>
      <c r="BS422" t="s">
        <v>5965</v>
      </c>
      <c r="BT422" t="str">
        <f>HYPERLINK("https%3A%2F%2Fwww.webofscience.com%2Fwos%2Fwoscc%2Ffull-record%2FWOS:000169670400011","View Full Record in Web of Science")</f>
        <v>View Full Record in Web of Science</v>
      </c>
    </row>
    <row r="423" spans="1:72" x14ac:dyDescent="0.15">
      <c r="A423" t="s">
        <v>72</v>
      </c>
      <c r="B423" t="s">
        <v>5966</v>
      </c>
      <c r="C423" t="s">
        <v>74</v>
      </c>
      <c r="D423" t="s">
        <v>74</v>
      </c>
      <c r="E423" t="s">
        <v>74</v>
      </c>
      <c r="F423" t="s">
        <v>5966</v>
      </c>
      <c r="G423" t="s">
        <v>74</v>
      </c>
      <c r="H423" t="s">
        <v>74</v>
      </c>
      <c r="I423" t="s">
        <v>5967</v>
      </c>
      <c r="J423" t="s">
        <v>3670</v>
      </c>
      <c r="K423" t="s">
        <v>74</v>
      </c>
      <c r="L423" t="s">
        <v>74</v>
      </c>
      <c r="M423" t="s">
        <v>77</v>
      </c>
      <c r="N423" t="s">
        <v>120</v>
      </c>
      <c r="O423" t="s">
        <v>74</v>
      </c>
      <c r="P423" t="s">
        <v>74</v>
      </c>
      <c r="Q423" t="s">
        <v>74</v>
      </c>
      <c r="R423" t="s">
        <v>74</v>
      </c>
      <c r="S423" t="s">
        <v>74</v>
      </c>
      <c r="T423" t="s">
        <v>74</v>
      </c>
      <c r="U423" t="s">
        <v>5968</v>
      </c>
      <c r="V423" t="s">
        <v>5969</v>
      </c>
      <c r="W423" t="s">
        <v>5970</v>
      </c>
      <c r="X423" t="s">
        <v>5971</v>
      </c>
      <c r="Y423" t="s">
        <v>5972</v>
      </c>
      <c r="Z423" t="s">
        <v>74</v>
      </c>
      <c r="AA423" t="s">
        <v>5973</v>
      </c>
      <c r="AB423" t="s">
        <v>5974</v>
      </c>
      <c r="AC423" t="s">
        <v>74</v>
      </c>
      <c r="AD423" t="s">
        <v>74</v>
      </c>
      <c r="AE423" t="s">
        <v>74</v>
      </c>
      <c r="AF423" t="s">
        <v>74</v>
      </c>
      <c r="AG423">
        <v>19</v>
      </c>
      <c r="AH423">
        <v>1</v>
      </c>
      <c r="AI423">
        <v>1</v>
      </c>
      <c r="AJ423">
        <v>0</v>
      </c>
      <c r="AK423">
        <v>0</v>
      </c>
      <c r="AL423" t="s">
        <v>3678</v>
      </c>
      <c r="AM423" t="s">
        <v>3679</v>
      </c>
      <c r="AN423" t="s">
        <v>3680</v>
      </c>
      <c r="AO423" t="s">
        <v>3681</v>
      </c>
      <c r="AP423" t="s">
        <v>74</v>
      </c>
      <c r="AQ423" t="s">
        <v>74</v>
      </c>
      <c r="AR423" t="s">
        <v>3682</v>
      </c>
      <c r="AS423" t="s">
        <v>3683</v>
      </c>
      <c r="AT423" t="s">
        <v>5771</v>
      </c>
      <c r="AU423">
        <v>2001</v>
      </c>
      <c r="AV423">
        <v>41</v>
      </c>
      <c r="AW423">
        <v>4</v>
      </c>
      <c r="AX423" t="s">
        <v>74</v>
      </c>
      <c r="AY423" t="s">
        <v>74</v>
      </c>
      <c r="AZ423" t="s">
        <v>74</v>
      </c>
      <c r="BA423" t="s">
        <v>74</v>
      </c>
      <c r="BB423">
        <v>462</v>
      </c>
      <c r="BC423">
        <v>468</v>
      </c>
      <c r="BD423" t="s">
        <v>74</v>
      </c>
      <c r="BE423" t="s">
        <v>74</v>
      </c>
      <c r="BF423" t="s">
        <v>74</v>
      </c>
      <c r="BG423" t="s">
        <v>74</v>
      </c>
      <c r="BH423" t="s">
        <v>74</v>
      </c>
      <c r="BI423">
        <v>7</v>
      </c>
      <c r="BJ423" t="s">
        <v>388</v>
      </c>
      <c r="BK423" t="s">
        <v>88</v>
      </c>
      <c r="BL423" t="s">
        <v>388</v>
      </c>
      <c r="BM423" t="s">
        <v>5975</v>
      </c>
      <c r="BN423" t="s">
        <v>74</v>
      </c>
      <c r="BO423" t="s">
        <v>74</v>
      </c>
      <c r="BP423" t="s">
        <v>74</v>
      </c>
      <c r="BQ423" t="s">
        <v>74</v>
      </c>
      <c r="BR423" t="s">
        <v>91</v>
      </c>
      <c r="BS423" t="s">
        <v>5976</v>
      </c>
      <c r="BT423" t="str">
        <f>HYPERLINK("https%3A%2F%2Fwww.webofscience.com%2Fwos%2Fwoscc%2Ffull-record%2FWOS:000170574600008","View Full Record in Web of Science")</f>
        <v>View Full Record in Web of Science</v>
      </c>
    </row>
    <row r="424" spans="1:72" x14ac:dyDescent="0.15">
      <c r="A424" t="s">
        <v>72</v>
      </c>
      <c r="B424" t="s">
        <v>5977</v>
      </c>
      <c r="C424" t="s">
        <v>74</v>
      </c>
      <c r="D424" t="s">
        <v>74</v>
      </c>
      <c r="E424" t="s">
        <v>74</v>
      </c>
      <c r="F424" t="s">
        <v>5977</v>
      </c>
      <c r="G424" t="s">
        <v>74</v>
      </c>
      <c r="H424" t="s">
        <v>74</v>
      </c>
      <c r="I424" t="s">
        <v>5978</v>
      </c>
      <c r="J424" t="s">
        <v>613</v>
      </c>
      <c r="K424" t="s">
        <v>74</v>
      </c>
      <c r="L424" t="s">
        <v>74</v>
      </c>
      <c r="M424" t="s">
        <v>77</v>
      </c>
      <c r="N424" t="s">
        <v>120</v>
      </c>
      <c r="O424" t="s">
        <v>74</v>
      </c>
      <c r="P424" t="s">
        <v>74</v>
      </c>
      <c r="Q424" t="s">
        <v>74</v>
      </c>
      <c r="R424" t="s">
        <v>74</v>
      </c>
      <c r="S424" t="s">
        <v>74</v>
      </c>
      <c r="T424" t="s">
        <v>74</v>
      </c>
      <c r="U424" t="s">
        <v>5979</v>
      </c>
      <c r="V424" t="s">
        <v>5980</v>
      </c>
      <c r="W424" t="s">
        <v>5981</v>
      </c>
      <c r="X424" t="s">
        <v>5982</v>
      </c>
      <c r="Y424" t="s">
        <v>5983</v>
      </c>
      <c r="Z424" t="s">
        <v>74</v>
      </c>
      <c r="AA424" t="s">
        <v>74</v>
      </c>
      <c r="AB424" t="s">
        <v>74</v>
      </c>
      <c r="AC424" t="s">
        <v>74</v>
      </c>
      <c r="AD424" t="s">
        <v>74</v>
      </c>
      <c r="AE424" t="s">
        <v>74</v>
      </c>
      <c r="AF424" t="s">
        <v>74</v>
      </c>
      <c r="AG424">
        <v>12</v>
      </c>
      <c r="AH424">
        <v>11</v>
      </c>
      <c r="AI424">
        <v>11</v>
      </c>
      <c r="AJ424">
        <v>0</v>
      </c>
      <c r="AK424">
        <v>2</v>
      </c>
      <c r="AL424" t="s">
        <v>149</v>
      </c>
      <c r="AM424" t="s">
        <v>150</v>
      </c>
      <c r="AN424" t="s">
        <v>151</v>
      </c>
      <c r="AO424" t="s">
        <v>619</v>
      </c>
      <c r="AP424" t="s">
        <v>74</v>
      </c>
      <c r="AQ424" t="s">
        <v>74</v>
      </c>
      <c r="AR424" t="s">
        <v>620</v>
      </c>
      <c r="AS424" t="s">
        <v>621</v>
      </c>
      <c r="AT424" t="s">
        <v>5984</v>
      </c>
      <c r="AU424">
        <v>2001</v>
      </c>
      <c r="AV424">
        <v>28</v>
      </c>
      <c r="AW424">
        <v>13</v>
      </c>
      <c r="AX424" t="s">
        <v>74</v>
      </c>
      <c r="AY424" t="s">
        <v>74</v>
      </c>
      <c r="AZ424" t="s">
        <v>74</v>
      </c>
      <c r="BA424" t="s">
        <v>74</v>
      </c>
      <c r="BB424">
        <v>2581</v>
      </c>
      <c r="BC424">
        <v>2584</v>
      </c>
      <c r="BD424" t="s">
        <v>74</v>
      </c>
      <c r="BE424" t="s">
        <v>5985</v>
      </c>
      <c r="BF424" t="str">
        <f>HYPERLINK("http://dx.doi.org/10.1029/2000GL012161","http://dx.doi.org/10.1029/2000GL012161")</f>
        <v>http://dx.doi.org/10.1029/2000GL012161</v>
      </c>
      <c r="BG424" t="s">
        <v>74</v>
      </c>
      <c r="BH424" t="s">
        <v>74</v>
      </c>
      <c r="BI424">
        <v>4</v>
      </c>
      <c r="BJ424" t="s">
        <v>300</v>
      </c>
      <c r="BK424" t="s">
        <v>88</v>
      </c>
      <c r="BL424" t="s">
        <v>113</v>
      </c>
      <c r="BM424" t="s">
        <v>5986</v>
      </c>
      <c r="BN424" t="s">
        <v>74</v>
      </c>
      <c r="BO424" t="s">
        <v>171</v>
      </c>
      <c r="BP424" t="s">
        <v>74</v>
      </c>
      <c r="BQ424" t="s">
        <v>74</v>
      </c>
      <c r="BR424" t="s">
        <v>91</v>
      </c>
      <c r="BS424" t="s">
        <v>5987</v>
      </c>
      <c r="BT424" t="str">
        <f>HYPERLINK("https%3A%2F%2Fwww.webofscience.com%2Fwos%2Fwoscc%2Ffull-record%2FWOS:000169493700025","View Full Record in Web of Science")</f>
        <v>View Full Record in Web of Science</v>
      </c>
    </row>
    <row r="425" spans="1:72" x14ac:dyDescent="0.15">
      <c r="A425" t="s">
        <v>72</v>
      </c>
      <c r="B425" t="s">
        <v>5988</v>
      </c>
      <c r="C425" t="s">
        <v>74</v>
      </c>
      <c r="D425" t="s">
        <v>74</v>
      </c>
      <c r="E425" t="s">
        <v>74</v>
      </c>
      <c r="F425" t="s">
        <v>5988</v>
      </c>
      <c r="G425" t="s">
        <v>74</v>
      </c>
      <c r="H425" t="s">
        <v>74</v>
      </c>
      <c r="I425" t="s">
        <v>5989</v>
      </c>
      <c r="J425" t="s">
        <v>5990</v>
      </c>
      <c r="K425" t="s">
        <v>74</v>
      </c>
      <c r="L425" t="s">
        <v>74</v>
      </c>
      <c r="M425" t="s">
        <v>77</v>
      </c>
      <c r="N425" t="s">
        <v>120</v>
      </c>
      <c r="O425" t="s">
        <v>74</v>
      </c>
      <c r="P425" t="s">
        <v>74</v>
      </c>
      <c r="Q425" t="s">
        <v>74</v>
      </c>
      <c r="R425" t="s">
        <v>74</v>
      </c>
      <c r="S425" t="s">
        <v>74</v>
      </c>
      <c r="T425" t="s">
        <v>5991</v>
      </c>
      <c r="U425" t="s">
        <v>5992</v>
      </c>
      <c r="V425" t="s">
        <v>5993</v>
      </c>
      <c r="W425" t="s">
        <v>5994</v>
      </c>
      <c r="X425" t="s">
        <v>5995</v>
      </c>
      <c r="Y425" t="s">
        <v>5996</v>
      </c>
      <c r="Z425" t="s">
        <v>74</v>
      </c>
      <c r="AA425" t="s">
        <v>5997</v>
      </c>
      <c r="AB425" t="s">
        <v>5998</v>
      </c>
      <c r="AC425" t="s">
        <v>74</v>
      </c>
      <c r="AD425" t="s">
        <v>74</v>
      </c>
      <c r="AE425" t="s">
        <v>74</v>
      </c>
      <c r="AF425" t="s">
        <v>74</v>
      </c>
      <c r="AG425">
        <v>20</v>
      </c>
      <c r="AH425">
        <v>6</v>
      </c>
      <c r="AI425">
        <v>9</v>
      </c>
      <c r="AJ425">
        <v>0</v>
      </c>
      <c r="AK425">
        <v>7</v>
      </c>
      <c r="AL425" t="s">
        <v>2223</v>
      </c>
      <c r="AM425" t="s">
        <v>2224</v>
      </c>
      <c r="AN425" t="s">
        <v>5560</v>
      </c>
      <c r="AO425" t="s">
        <v>5999</v>
      </c>
      <c r="AP425" t="s">
        <v>74</v>
      </c>
      <c r="AQ425" t="s">
        <v>74</v>
      </c>
      <c r="AR425" t="s">
        <v>6000</v>
      </c>
      <c r="AS425" t="s">
        <v>6001</v>
      </c>
      <c r="AT425" t="s">
        <v>5712</v>
      </c>
      <c r="AU425">
        <v>2001</v>
      </c>
      <c r="AV425">
        <v>18</v>
      </c>
      <c r="AW425">
        <v>7</v>
      </c>
      <c r="AX425" t="s">
        <v>74</v>
      </c>
      <c r="AY425" t="s">
        <v>74</v>
      </c>
      <c r="AZ425" t="s">
        <v>74</v>
      </c>
      <c r="BA425" t="s">
        <v>74</v>
      </c>
      <c r="BB425">
        <v>565</v>
      </c>
      <c r="BC425">
        <v>569</v>
      </c>
      <c r="BD425" t="s">
        <v>74</v>
      </c>
      <c r="BE425" t="s">
        <v>6002</v>
      </c>
      <c r="BF425" t="str">
        <f>HYPERLINK("http://dx.doi.org/10.1023/A:1019655303395","http://dx.doi.org/10.1023/A:1019655303395")</f>
        <v>http://dx.doi.org/10.1023/A:1019655303395</v>
      </c>
      <c r="BG425" t="s">
        <v>74</v>
      </c>
      <c r="BH425" t="s">
        <v>74</v>
      </c>
      <c r="BI425">
        <v>5</v>
      </c>
      <c r="BJ425" t="s">
        <v>2248</v>
      </c>
      <c r="BK425" t="s">
        <v>88</v>
      </c>
      <c r="BL425" t="s">
        <v>2248</v>
      </c>
      <c r="BM425" t="s">
        <v>6003</v>
      </c>
      <c r="BN425">
        <v>12151718</v>
      </c>
      <c r="BO425" t="s">
        <v>74</v>
      </c>
      <c r="BP425" t="s">
        <v>74</v>
      </c>
      <c r="BQ425" t="s">
        <v>74</v>
      </c>
      <c r="BR425" t="s">
        <v>91</v>
      </c>
      <c r="BS425" t="s">
        <v>6004</v>
      </c>
      <c r="BT425" t="str">
        <f>HYPERLINK("https%3A%2F%2Fwww.webofscience.com%2Fwos%2Fwoscc%2Ffull-record%2FWOS:000177253600007","View Full Record in Web of Science")</f>
        <v>View Full Record in Web of Science</v>
      </c>
    </row>
    <row r="426" spans="1:72" x14ac:dyDescent="0.15">
      <c r="A426" t="s">
        <v>72</v>
      </c>
      <c r="B426" t="s">
        <v>6005</v>
      </c>
      <c r="C426" t="s">
        <v>74</v>
      </c>
      <c r="D426" t="s">
        <v>74</v>
      </c>
      <c r="E426" t="s">
        <v>74</v>
      </c>
      <c r="F426" t="s">
        <v>6005</v>
      </c>
      <c r="G426" t="s">
        <v>74</v>
      </c>
      <c r="H426" t="s">
        <v>74</v>
      </c>
      <c r="I426" t="s">
        <v>6006</v>
      </c>
      <c r="J426" t="s">
        <v>5550</v>
      </c>
      <c r="K426" t="s">
        <v>74</v>
      </c>
      <c r="L426" t="s">
        <v>74</v>
      </c>
      <c r="M426" t="s">
        <v>77</v>
      </c>
      <c r="N426" t="s">
        <v>120</v>
      </c>
      <c r="O426" t="s">
        <v>74</v>
      </c>
      <c r="P426" t="s">
        <v>74</v>
      </c>
      <c r="Q426" t="s">
        <v>74</v>
      </c>
      <c r="R426" t="s">
        <v>74</v>
      </c>
      <c r="S426" t="s">
        <v>74</v>
      </c>
      <c r="T426" t="s">
        <v>6007</v>
      </c>
      <c r="U426" t="s">
        <v>6008</v>
      </c>
      <c r="V426" t="s">
        <v>6009</v>
      </c>
      <c r="W426" t="s">
        <v>6010</v>
      </c>
      <c r="X426" t="s">
        <v>6011</v>
      </c>
      <c r="Y426" t="s">
        <v>6012</v>
      </c>
      <c r="Z426" t="s">
        <v>6013</v>
      </c>
      <c r="AA426" t="s">
        <v>74</v>
      </c>
      <c r="AB426" t="s">
        <v>74</v>
      </c>
      <c r="AC426" t="s">
        <v>74</v>
      </c>
      <c r="AD426" t="s">
        <v>74</v>
      </c>
      <c r="AE426" t="s">
        <v>74</v>
      </c>
      <c r="AF426" t="s">
        <v>74</v>
      </c>
      <c r="AG426">
        <v>48</v>
      </c>
      <c r="AH426">
        <v>12</v>
      </c>
      <c r="AI426">
        <v>13</v>
      </c>
      <c r="AJ426">
        <v>0</v>
      </c>
      <c r="AK426">
        <v>2</v>
      </c>
      <c r="AL426" t="s">
        <v>248</v>
      </c>
      <c r="AM426" t="s">
        <v>2224</v>
      </c>
      <c r="AN426" t="s">
        <v>5560</v>
      </c>
      <c r="AO426" t="s">
        <v>5561</v>
      </c>
      <c r="AP426" t="s">
        <v>6014</v>
      </c>
      <c r="AQ426" t="s">
        <v>74</v>
      </c>
      <c r="AR426" t="s">
        <v>5550</v>
      </c>
      <c r="AS426" t="s">
        <v>5562</v>
      </c>
      <c r="AT426" t="s">
        <v>5984</v>
      </c>
      <c r="AU426">
        <v>2001</v>
      </c>
      <c r="AV426">
        <v>455</v>
      </c>
      <c r="AW426" t="s">
        <v>74</v>
      </c>
      <c r="AX426" t="s">
        <v>74</v>
      </c>
      <c r="AY426" t="s">
        <v>74</v>
      </c>
      <c r="AZ426" t="s">
        <v>74</v>
      </c>
      <c r="BA426" t="s">
        <v>74</v>
      </c>
      <c r="BB426">
        <v>171</v>
      </c>
      <c r="BC426">
        <v>181</v>
      </c>
      <c r="BD426" t="s">
        <v>74</v>
      </c>
      <c r="BE426" t="s">
        <v>6015</v>
      </c>
      <c r="BF426" t="str">
        <f>HYPERLINK("http://dx.doi.org/10.1023/A:1011981332027","http://dx.doi.org/10.1023/A:1011981332027")</f>
        <v>http://dx.doi.org/10.1023/A:1011981332027</v>
      </c>
      <c r="BG426" t="s">
        <v>74</v>
      </c>
      <c r="BH426" t="s">
        <v>74</v>
      </c>
      <c r="BI426">
        <v>11</v>
      </c>
      <c r="BJ426" t="s">
        <v>323</v>
      </c>
      <c r="BK426" t="s">
        <v>88</v>
      </c>
      <c r="BL426" t="s">
        <v>323</v>
      </c>
      <c r="BM426" t="s">
        <v>6016</v>
      </c>
      <c r="BN426" t="s">
        <v>74</v>
      </c>
      <c r="BO426" t="s">
        <v>74</v>
      </c>
      <c r="BP426" t="s">
        <v>74</v>
      </c>
      <c r="BQ426" t="s">
        <v>74</v>
      </c>
      <c r="BR426" t="s">
        <v>91</v>
      </c>
      <c r="BS426" t="s">
        <v>6017</v>
      </c>
      <c r="BT426" t="str">
        <f>HYPERLINK("https%3A%2F%2Fwww.webofscience.com%2Fwos%2Fwoscc%2Ffull-record%2FWOS:000173247400016","View Full Record in Web of Science")</f>
        <v>View Full Record in Web of Science</v>
      </c>
    </row>
    <row r="427" spans="1:72" x14ac:dyDescent="0.15">
      <c r="A427" t="s">
        <v>72</v>
      </c>
      <c r="B427" t="s">
        <v>6018</v>
      </c>
      <c r="C427" t="s">
        <v>74</v>
      </c>
      <c r="D427" t="s">
        <v>74</v>
      </c>
      <c r="E427" t="s">
        <v>74</v>
      </c>
      <c r="F427" t="s">
        <v>6018</v>
      </c>
      <c r="G427" t="s">
        <v>74</v>
      </c>
      <c r="H427" t="s">
        <v>74</v>
      </c>
      <c r="I427" t="s">
        <v>6019</v>
      </c>
      <c r="J427" t="s">
        <v>6020</v>
      </c>
      <c r="K427" t="s">
        <v>74</v>
      </c>
      <c r="L427" t="s">
        <v>74</v>
      </c>
      <c r="M427" t="s">
        <v>77</v>
      </c>
      <c r="N427" t="s">
        <v>120</v>
      </c>
      <c r="O427" t="s">
        <v>74</v>
      </c>
      <c r="P427" t="s">
        <v>74</v>
      </c>
      <c r="Q427" t="s">
        <v>74</v>
      </c>
      <c r="R427" t="s">
        <v>74</v>
      </c>
      <c r="S427" t="s">
        <v>74</v>
      </c>
      <c r="T427" t="s">
        <v>6021</v>
      </c>
      <c r="U427" t="s">
        <v>6022</v>
      </c>
      <c r="V427" t="s">
        <v>6023</v>
      </c>
      <c r="W427" t="s">
        <v>6024</v>
      </c>
      <c r="X427" t="s">
        <v>6025</v>
      </c>
      <c r="Y427" t="s">
        <v>6026</v>
      </c>
      <c r="Z427" t="s">
        <v>74</v>
      </c>
      <c r="AA427" t="s">
        <v>74</v>
      </c>
      <c r="AB427" t="s">
        <v>74</v>
      </c>
      <c r="AC427" t="s">
        <v>74</v>
      </c>
      <c r="AD427" t="s">
        <v>74</v>
      </c>
      <c r="AE427" t="s">
        <v>74</v>
      </c>
      <c r="AF427" t="s">
        <v>74</v>
      </c>
      <c r="AG427">
        <v>24</v>
      </c>
      <c r="AH427">
        <v>6</v>
      </c>
      <c r="AI427">
        <v>6</v>
      </c>
      <c r="AJ427">
        <v>0</v>
      </c>
      <c r="AK427">
        <v>0</v>
      </c>
      <c r="AL427" t="s">
        <v>6027</v>
      </c>
      <c r="AM427" t="s">
        <v>6028</v>
      </c>
      <c r="AN427" t="s">
        <v>6029</v>
      </c>
      <c r="AO427" t="s">
        <v>6030</v>
      </c>
      <c r="AP427" t="s">
        <v>74</v>
      </c>
      <c r="AQ427" t="s">
        <v>74</v>
      </c>
      <c r="AR427" t="s">
        <v>6031</v>
      </c>
      <c r="AS427" t="s">
        <v>6032</v>
      </c>
      <c r="AT427" t="s">
        <v>5771</v>
      </c>
      <c r="AU427">
        <v>2001</v>
      </c>
      <c r="AV427">
        <v>19</v>
      </c>
      <c r="AW427">
        <v>4</v>
      </c>
      <c r="AX427" t="s">
        <v>74</v>
      </c>
      <c r="AY427" t="s">
        <v>74</v>
      </c>
      <c r="AZ427" t="s">
        <v>74</v>
      </c>
      <c r="BA427" t="s">
        <v>74</v>
      </c>
      <c r="BB427">
        <v>413</v>
      </c>
      <c r="BC427">
        <v>424</v>
      </c>
      <c r="BD427" t="s">
        <v>74</v>
      </c>
      <c r="BE427" t="s">
        <v>6033</v>
      </c>
      <c r="BF427" t="str">
        <f>HYPERLINK("http://dx.doi.org/10.1002/sat.684","http://dx.doi.org/10.1002/sat.684")</f>
        <v>http://dx.doi.org/10.1002/sat.684</v>
      </c>
      <c r="BG427" t="s">
        <v>74</v>
      </c>
      <c r="BH427" t="s">
        <v>74</v>
      </c>
      <c r="BI427">
        <v>12</v>
      </c>
      <c r="BJ427" t="s">
        <v>6034</v>
      </c>
      <c r="BK427" t="s">
        <v>88</v>
      </c>
      <c r="BL427" t="s">
        <v>6035</v>
      </c>
      <c r="BM427" t="s">
        <v>6036</v>
      </c>
      <c r="BN427" t="s">
        <v>74</v>
      </c>
      <c r="BO427" t="s">
        <v>74</v>
      </c>
      <c r="BP427" t="s">
        <v>74</v>
      </c>
      <c r="BQ427" t="s">
        <v>74</v>
      </c>
      <c r="BR427" t="s">
        <v>91</v>
      </c>
      <c r="BS427" t="s">
        <v>6037</v>
      </c>
      <c r="BT427" t="str">
        <f>HYPERLINK("https%3A%2F%2Fwww.webofscience.com%2Fwos%2Fwoscc%2Ffull-record%2FWOS:000170208500003","View Full Record in Web of Science")</f>
        <v>View Full Record in Web of Science</v>
      </c>
    </row>
    <row r="428" spans="1:72" x14ac:dyDescent="0.15">
      <c r="A428" t="s">
        <v>72</v>
      </c>
      <c r="B428" t="s">
        <v>6038</v>
      </c>
      <c r="C428" t="s">
        <v>74</v>
      </c>
      <c r="D428" t="s">
        <v>74</v>
      </c>
      <c r="E428" t="s">
        <v>74</v>
      </c>
      <c r="F428" t="s">
        <v>6038</v>
      </c>
      <c r="G428" t="s">
        <v>74</v>
      </c>
      <c r="H428" t="s">
        <v>74</v>
      </c>
      <c r="I428" t="s">
        <v>6039</v>
      </c>
      <c r="J428" t="s">
        <v>1180</v>
      </c>
      <c r="K428" t="s">
        <v>74</v>
      </c>
      <c r="L428" t="s">
        <v>74</v>
      </c>
      <c r="M428" t="s">
        <v>77</v>
      </c>
      <c r="N428" t="s">
        <v>120</v>
      </c>
      <c r="O428" t="s">
        <v>74</v>
      </c>
      <c r="P428" t="s">
        <v>74</v>
      </c>
      <c r="Q428" t="s">
        <v>74</v>
      </c>
      <c r="R428" t="s">
        <v>74</v>
      </c>
      <c r="S428" t="s">
        <v>74</v>
      </c>
      <c r="T428" t="s">
        <v>6040</v>
      </c>
      <c r="U428" t="s">
        <v>6041</v>
      </c>
      <c r="V428" t="s">
        <v>6042</v>
      </c>
      <c r="W428" t="s">
        <v>6043</v>
      </c>
      <c r="X428" t="s">
        <v>6044</v>
      </c>
      <c r="Y428" t="s">
        <v>6045</v>
      </c>
      <c r="Z428" t="s">
        <v>6046</v>
      </c>
      <c r="AA428" t="s">
        <v>6047</v>
      </c>
      <c r="AB428" t="s">
        <v>6048</v>
      </c>
      <c r="AC428" t="s">
        <v>74</v>
      </c>
      <c r="AD428" t="s">
        <v>74</v>
      </c>
      <c r="AE428" t="s">
        <v>74</v>
      </c>
      <c r="AF428" t="s">
        <v>74</v>
      </c>
      <c r="AG428">
        <v>37</v>
      </c>
      <c r="AH428">
        <v>103</v>
      </c>
      <c r="AI428">
        <v>114</v>
      </c>
      <c r="AJ428">
        <v>0</v>
      </c>
      <c r="AK428">
        <v>5</v>
      </c>
      <c r="AL428" t="s">
        <v>1189</v>
      </c>
      <c r="AM428" t="s">
        <v>1190</v>
      </c>
      <c r="AN428" t="s">
        <v>6049</v>
      </c>
      <c r="AO428" t="s">
        <v>1192</v>
      </c>
      <c r="AP428" t="s">
        <v>74</v>
      </c>
      <c r="AQ428" t="s">
        <v>74</v>
      </c>
      <c r="AR428" t="s">
        <v>1193</v>
      </c>
      <c r="AS428" t="s">
        <v>1194</v>
      </c>
      <c r="AT428" t="s">
        <v>5712</v>
      </c>
      <c r="AU428">
        <v>2001</v>
      </c>
      <c r="AV428">
        <v>51</v>
      </c>
      <c r="AW428" t="s">
        <v>74</v>
      </c>
      <c r="AX428">
        <v>4</v>
      </c>
      <c r="AY428" t="s">
        <v>74</v>
      </c>
      <c r="AZ428" t="s">
        <v>74</v>
      </c>
      <c r="BA428" t="s">
        <v>74</v>
      </c>
      <c r="BB428">
        <v>1235</v>
      </c>
      <c r="BC428">
        <v>1243</v>
      </c>
      <c r="BD428" t="s">
        <v>74</v>
      </c>
      <c r="BE428" t="s">
        <v>6050</v>
      </c>
      <c r="BF428" t="str">
        <f>HYPERLINK("http://dx.doi.org/10.1099/00207713-51-4-1235","http://dx.doi.org/10.1099/00207713-51-4-1235")</f>
        <v>http://dx.doi.org/10.1099/00207713-51-4-1235</v>
      </c>
      <c r="BG428" t="s">
        <v>74</v>
      </c>
      <c r="BH428" t="s">
        <v>74</v>
      </c>
      <c r="BI428">
        <v>9</v>
      </c>
      <c r="BJ428" t="s">
        <v>1196</v>
      </c>
      <c r="BK428" t="s">
        <v>88</v>
      </c>
      <c r="BL428" t="s">
        <v>1196</v>
      </c>
      <c r="BM428" t="s">
        <v>6051</v>
      </c>
      <c r="BN428">
        <v>11491319</v>
      </c>
      <c r="BO428" t="s">
        <v>171</v>
      </c>
      <c r="BP428" t="s">
        <v>74</v>
      </c>
      <c r="BQ428" t="s">
        <v>74</v>
      </c>
      <c r="BR428" t="s">
        <v>91</v>
      </c>
      <c r="BS428" t="s">
        <v>6052</v>
      </c>
      <c r="BT428" t="str">
        <f>HYPERLINK("https%3A%2F%2Fwww.webofscience.com%2Fwos%2Fwoscc%2Ffull-record%2FWOS:000169966500001","View Full Record in Web of Science")</f>
        <v>View Full Record in Web of Science</v>
      </c>
    </row>
    <row r="429" spans="1:72" x14ac:dyDescent="0.15">
      <c r="A429" t="s">
        <v>72</v>
      </c>
      <c r="B429" t="s">
        <v>6053</v>
      </c>
      <c r="C429" t="s">
        <v>74</v>
      </c>
      <c r="D429" t="s">
        <v>74</v>
      </c>
      <c r="E429" t="s">
        <v>74</v>
      </c>
      <c r="F429" t="s">
        <v>6053</v>
      </c>
      <c r="G429" t="s">
        <v>74</v>
      </c>
      <c r="H429" t="s">
        <v>74</v>
      </c>
      <c r="I429" t="s">
        <v>6054</v>
      </c>
      <c r="J429" t="s">
        <v>1180</v>
      </c>
      <c r="K429" t="s">
        <v>74</v>
      </c>
      <c r="L429" t="s">
        <v>74</v>
      </c>
      <c r="M429" t="s">
        <v>77</v>
      </c>
      <c r="N429" t="s">
        <v>120</v>
      </c>
      <c r="O429" t="s">
        <v>74</v>
      </c>
      <c r="P429" t="s">
        <v>74</v>
      </c>
      <c r="Q429" t="s">
        <v>74</v>
      </c>
      <c r="R429" t="s">
        <v>74</v>
      </c>
      <c r="S429" t="s">
        <v>74</v>
      </c>
      <c r="T429" t="s">
        <v>6055</v>
      </c>
      <c r="U429" t="s">
        <v>6056</v>
      </c>
      <c r="V429" t="s">
        <v>6057</v>
      </c>
      <c r="W429" t="s">
        <v>6058</v>
      </c>
      <c r="X429" t="s">
        <v>6059</v>
      </c>
      <c r="Y429" t="s">
        <v>6060</v>
      </c>
      <c r="Z429" t="s">
        <v>74</v>
      </c>
      <c r="AA429" t="s">
        <v>6061</v>
      </c>
      <c r="AB429" t="s">
        <v>6062</v>
      </c>
      <c r="AC429" t="s">
        <v>74</v>
      </c>
      <c r="AD429" t="s">
        <v>74</v>
      </c>
      <c r="AE429" t="s">
        <v>74</v>
      </c>
      <c r="AF429" t="s">
        <v>74</v>
      </c>
      <c r="AG429">
        <v>7</v>
      </c>
      <c r="AH429">
        <v>14</v>
      </c>
      <c r="AI429">
        <v>16</v>
      </c>
      <c r="AJ429">
        <v>0</v>
      </c>
      <c r="AK429">
        <v>4</v>
      </c>
      <c r="AL429" t="s">
        <v>1189</v>
      </c>
      <c r="AM429" t="s">
        <v>1190</v>
      </c>
      <c r="AN429" t="s">
        <v>1191</v>
      </c>
      <c r="AO429" t="s">
        <v>1192</v>
      </c>
      <c r="AP429" t="s">
        <v>74</v>
      </c>
      <c r="AQ429" t="s">
        <v>74</v>
      </c>
      <c r="AR429" t="s">
        <v>1193</v>
      </c>
      <c r="AS429" t="s">
        <v>1194</v>
      </c>
      <c r="AT429" t="s">
        <v>5712</v>
      </c>
      <c r="AU429">
        <v>2001</v>
      </c>
      <c r="AV429">
        <v>51</v>
      </c>
      <c r="AW429" t="s">
        <v>74</v>
      </c>
      <c r="AX429">
        <v>4</v>
      </c>
      <c r="AY429" t="s">
        <v>74</v>
      </c>
      <c r="AZ429" t="s">
        <v>74</v>
      </c>
      <c r="BA429" t="s">
        <v>74</v>
      </c>
      <c r="BB429">
        <v>1401</v>
      </c>
      <c r="BC429">
        <v>1403</v>
      </c>
      <c r="BD429" t="s">
        <v>74</v>
      </c>
      <c r="BE429" t="s">
        <v>6063</v>
      </c>
      <c r="BF429" t="str">
        <f>HYPERLINK("http://dx.doi.org/10.1099/00207713-51-4-1401","http://dx.doi.org/10.1099/00207713-51-4-1401")</f>
        <v>http://dx.doi.org/10.1099/00207713-51-4-1401</v>
      </c>
      <c r="BG429" t="s">
        <v>74</v>
      </c>
      <c r="BH429" t="s">
        <v>74</v>
      </c>
      <c r="BI429">
        <v>3</v>
      </c>
      <c r="BJ429" t="s">
        <v>1196</v>
      </c>
      <c r="BK429" t="s">
        <v>88</v>
      </c>
      <c r="BL429" t="s">
        <v>1196</v>
      </c>
      <c r="BM429" t="s">
        <v>6051</v>
      </c>
      <c r="BN429">
        <v>11491339</v>
      </c>
      <c r="BO429" t="s">
        <v>171</v>
      </c>
      <c r="BP429" t="s">
        <v>74</v>
      </c>
      <c r="BQ429" t="s">
        <v>74</v>
      </c>
      <c r="BR429" t="s">
        <v>91</v>
      </c>
      <c r="BS429" t="s">
        <v>6064</v>
      </c>
      <c r="BT429" t="str">
        <f>HYPERLINK("https%3A%2F%2Fwww.webofscience.com%2Fwos%2Fwoscc%2Ffull-record%2FWOS:000169966500021","View Full Record in Web of Science")</f>
        <v>View Full Record in Web of Science</v>
      </c>
    </row>
    <row r="430" spans="1:72" x14ac:dyDescent="0.15">
      <c r="A430" t="s">
        <v>72</v>
      </c>
      <c r="B430" t="s">
        <v>6065</v>
      </c>
      <c r="C430" t="s">
        <v>74</v>
      </c>
      <c r="D430" t="s">
        <v>74</v>
      </c>
      <c r="E430" t="s">
        <v>74</v>
      </c>
      <c r="F430" t="s">
        <v>6065</v>
      </c>
      <c r="G430" t="s">
        <v>74</v>
      </c>
      <c r="H430" t="s">
        <v>74</v>
      </c>
      <c r="I430" t="s">
        <v>6066</v>
      </c>
      <c r="J430" t="s">
        <v>3739</v>
      </c>
      <c r="K430" t="s">
        <v>74</v>
      </c>
      <c r="L430" t="s">
        <v>74</v>
      </c>
      <c r="M430" t="s">
        <v>77</v>
      </c>
      <c r="N430" t="s">
        <v>120</v>
      </c>
      <c r="O430" t="s">
        <v>74</v>
      </c>
      <c r="P430" t="s">
        <v>74</v>
      </c>
      <c r="Q430" t="s">
        <v>74</v>
      </c>
      <c r="R430" t="s">
        <v>74</v>
      </c>
      <c r="S430" t="s">
        <v>74</v>
      </c>
      <c r="T430" t="s">
        <v>74</v>
      </c>
      <c r="U430" t="s">
        <v>6067</v>
      </c>
      <c r="V430" t="s">
        <v>6068</v>
      </c>
      <c r="W430" t="s">
        <v>3464</v>
      </c>
      <c r="X430" t="s">
        <v>3465</v>
      </c>
      <c r="Y430" t="s">
        <v>6069</v>
      </c>
      <c r="Z430" t="s">
        <v>74</v>
      </c>
      <c r="AA430" t="s">
        <v>74</v>
      </c>
      <c r="AB430" t="s">
        <v>74</v>
      </c>
      <c r="AC430" t="s">
        <v>74</v>
      </c>
      <c r="AD430" t="s">
        <v>74</v>
      </c>
      <c r="AE430" t="s">
        <v>74</v>
      </c>
      <c r="AF430" t="s">
        <v>74</v>
      </c>
      <c r="AG430">
        <v>27</v>
      </c>
      <c r="AH430">
        <v>5</v>
      </c>
      <c r="AI430">
        <v>5</v>
      </c>
      <c r="AJ430">
        <v>0</v>
      </c>
      <c r="AK430">
        <v>1</v>
      </c>
      <c r="AL430" t="s">
        <v>3678</v>
      </c>
      <c r="AM430" t="s">
        <v>3679</v>
      </c>
      <c r="AN430" t="s">
        <v>3680</v>
      </c>
      <c r="AO430" t="s">
        <v>3746</v>
      </c>
      <c r="AP430" t="s">
        <v>74</v>
      </c>
      <c r="AQ430" t="s">
        <v>74</v>
      </c>
      <c r="AR430" t="s">
        <v>3748</v>
      </c>
      <c r="AS430" t="s">
        <v>3749</v>
      </c>
      <c r="AT430" t="s">
        <v>5771</v>
      </c>
      <c r="AU430">
        <v>2001</v>
      </c>
      <c r="AV430">
        <v>37</v>
      </c>
      <c r="AW430">
        <v>4</v>
      </c>
      <c r="AX430" t="s">
        <v>74</v>
      </c>
      <c r="AY430" t="s">
        <v>74</v>
      </c>
      <c r="AZ430" t="s">
        <v>74</v>
      </c>
      <c r="BA430" t="s">
        <v>74</v>
      </c>
      <c r="BB430">
        <v>482</v>
      </c>
      <c r="BC430">
        <v>489</v>
      </c>
      <c r="BD430" t="s">
        <v>74</v>
      </c>
      <c r="BE430" t="s">
        <v>74</v>
      </c>
      <c r="BF430" t="s">
        <v>74</v>
      </c>
      <c r="BG430" t="s">
        <v>74</v>
      </c>
      <c r="BH430" t="s">
        <v>74</v>
      </c>
      <c r="BI430">
        <v>8</v>
      </c>
      <c r="BJ430" t="s">
        <v>3750</v>
      </c>
      <c r="BK430" t="s">
        <v>88</v>
      </c>
      <c r="BL430" t="s">
        <v>3750</v>
      </c>
      <c r="BM430" t="s">
        <v>6070</v>
      </c>
      <c r="BN430" t="s">
        <v>74</v>
      </c>
      <c r="BO430" t="s">
        <v>74</v>
      </c>
      <c r="BP430" t="s">
        <v>74</v>
      </c>
      <c r="BQ430" t="s">
        <v>74</v>
      </c>
      <c r="BR430" t="s">
        <v>91</v>
      </c>
      <c r="BS430" t="s">
        <v>6071</v>
      </c>
      <c r="BT430" t="str">
        <f>HYPERLINK("https%3A%2F%2Fwww.webofscience.com%2Fwos%2Fwoscc%2Ffull-record%2FWOS:000170545900011","View Full Record in Web of Science")</f>
        <v>View Full Record in Web of Science</v>
      </c>
    </row>
    <row r="431" spans="1:72" x14ac:dyDescent="0.15">
      <c r="A431" t="s">
        <v>72</v>
      </c>
      <c r="B431" t="s">
        <v>6072</v>
      </c>
      <c r="C431" t="s">
        <v>74</v>
      </c>
      <c r="D431" t="s">
        <v>74</v>
      </c>
      <c r="E431" t="s">
        <v>74</v>
      </c>
      <c r="F431" t="s">
        <v>6072</v>
      </c>
      <c r="G431" t="s">
        <v>74</v>
      </c>
      <c r="H431" t="s">
        <v>74</v>
      </c>
      <c r="I431" t="s">
        <v>6073</v>
      </c>
      <c r="J431" t="s">
        <v>1201</v>
      </c>
      <c r="K431" t="s">
        <v>74</v>
      </c>
      <c r="L431" t="s">
        <v>74</v>
      </c>
      <c r="M431" t="s">
        <v>77</v>
      </c>
      <c r="N431" t="s">
        <v>120</v>
      </c>
      <c r="O431" t="s">
        <v>74</v>
      </c>
      <c r="P431" t="s">
        <v>74</v>
      </c>
      <c r="Q431" t="s">
        <v>74</v>
      </c>
      <c r="R431" t="s">
        <v>74</v>
      </c>
      <c r="S431" t="s">
        <v>74</v>
      </c>
      <c r="T431" t="s">
        <v>6074</v>
      </c>
      <c r="U431" t="s">
        <v>6075</v>
      </c>
      <c r="V431" t="s">
        <v>6076</v>
      </c>
      <c r="W431" t="s">
        <v>6077</v>
      </c>
      <c r="X431" t="s">
        <v>6078</v>
      </c>
      <c r="Y431" t="s">
        <v>6079</v>
      </c>
      <c r="Z431" t="s">
        <v>6080</v>
      </c>
      <c r="AA431" t="s">
        <v>74</v>
      </c>
      <c r="AB431" t="s">
        <v>6081</v>
      </c>
      <c r="AC431" t="s">
        <v>74</v>
      </c>
      <c r="AD431" t="s">
        <v>74</v>
      </c>
      <c r="AE431" t="s">
        <v>74</v>
      </c>
      <c r="AF431" t="s">
        <v>74</v>
      </c>
      <c r="AG431">
        <v>30</v>
      </c>
      <c r="AH431">
        <v>9</v>
      </c>
      <c r="AI431">
        <v>9</v>
      </c>
      <c r="AJ431">
        <v>0</v>
      </c>
      <c r="AK431">
        <v>0</v>
      </c>
      <c r="AL431" t="s">
        <v>79</v>
      </c>
      <c r="AM431" t="s">
        <v>80</v>
      </c>
      <c r="AN431" t="s">
        <v>81</v>
      </c>
      <c r="AO431" t="s">
        <v>1208</v>
      </c>
      <c r="AP431" t="s">
        <v>6082</v>
      </c>
      <c r="AQ431" t="s">
        <v>74</v>
      </c>
      <c r="AR431" t="s">
        <v>1209</v>
      </c>
      <c r="AS431" t="s">
        <v>1210</v>
      </c>
      <c r="AT431" t="s">
        <v>5712</v>
      </c>
      <c r="AU431">
        <v>2001</v>
      </c>
      <c r="AV431">
        <v>63</v>
      </c>
      <c r="AW431">
        <v>10</v>
      </c>
      <c r="AX431" t="s">
        <v>74</v>
      </c>
      <c r="AY431" t="s">
        <v>74</v>
      </c>
      <c r="AZ431" t="s">
        <v>74</v>
      </c>
      <c r="BA431" t="s">
        <v>74</v>
      </c>
      <c r="BB431">
        <v>987</v>
      </c>
      <c r="BC431">
        <v>992</v>
      </c>
      <c r="BD431" t="s">
        <v>74</v>
      </c>
      <c r="BE431" t="s">
        <v>6083</v>
      </c>
      <c r="BF431" t="str">
        <f>HYPERLINK("http://dx.doi.org/10.1016/S1364-6826(01)00011-6","http://dx.doi.org/10.1016/S1364-6826(01)00011-6")</f>
        <v>http://dx.doi.org/10.1016/S1364-6826(01)00011-6</v>
      </c>
      <c r="BG431" t="s">
        <v>74</v>
      </c>
      <c r="BH431" t="s">
        <v>74</v>
      </c>
      <c r="BI431">
        <v>6</v>
      </c>
      <c r="BJ431" t="s">
        <v>1212</v>
      </c>
      <c r="BK431" t="s">
        <v>88</v>
      </c>
      <c r="BL431" t="s">
        <v>1212</v>
      </c>
      <c r="BM431" t="s">
        <v>6084</v>
      </c>
      <c r="BN431" t="s">
        <v>74</v>
      </c>
      <c r="BO431" t="s">
        <v>74</v>
      </c>
      <c r="BP431" t="s">
        <v>74</v>
      </c>
      <c r="BQ431" t="s">
        <v>74</v>
      </c>
      <c r="BR431" t="s">
        <v>91</v>
      </c>
      <c r="BS431" t="s">
        <v>6085</v>
      </c>
      <c r="BT431" t="str">
        <f>HYPERLINK("https%3A%2F%2Fwww.webofscience.com%2Fwos%2Fwoscc%2Ffull-record%2FWOS:000169651800002","View Full Record in Web of Science")</f>
        <v>View Full Record in Web of Science</v>
      </c>
    </row>
    <row r="432" spans="1:72" x14ac:dyDescent="0.15">
      <c r="A432" t="s">
        <v>72</v>
      </c>
      <c r="B432" t="s">
        <v>6086</v>
      </c>
      <c r="C432" t="s">
        <v>74</v>
      </c>
      <c r="D432" t="s">
        <v>74</v>
      </c>
      <c r="E432" t="s">
        <v>74</v>
      </c>
      <c r="F432" t="s">
        <v>6086</v>
      </c>
      <c r="G432" t="s">
        <v>74</v>
      </c>
      <c r="H432" t="s">
        <v>74</v>
      </c>
      <c r="I432" t="s">
        <v>6087</v>
      </c>
      <c r="J432" t="s">
        <v>1201</v>
      </c>
      <c r="K432" t="s">
        <v>74</v>
      </c>
      <c r="L432" t="s">
        <v>74</v>
      </c>
      <c r="M432" t="s">
        <v>77</v>
      </c>
      <c r="N432" t="s">
        <v>120</v>
      </c>
      <c r="O432" t="s">
        <v>74</v>
      </c>
      <c r="P432" t="s">
        <v>74</v>
      </c>
      <c r="Q432" t="s">
        <v>74</v>
      </c>
      <c r="R432" t="s">
        <v>74</v>
      </c>
      <c r="S432" t="s">
        <v>74</v>
      </c>
      <c r="T432" t="s">
        <v>6088</v>
      </c>
      <c r="U432" t="s">
        <v>6089</v>
      </c>
      <c r="V432" t="s">
        <v>6090</v>
      </c>
      <c r="W432" t="s">
        <v>6091</v>
      </c>
      <c r="X432" t="s">
        <v>5723</v>
      </c>
      <c r="Y432" t="s">
        <v>4269</v>
      </c>
      <c r="Z432" t="s">
        <v>74</v>
      </c>
      <c r="AA432" t="s">
        <v>6092</v>
      </c>
      <c r="AB432" t="s">
        <v>6093</v>
      </c>
      <c r="AC432" t="s">
        <v>74</v>
      </c>
      <c r="AD432" t="s">
        <v>74</v>
      </c>
      <c r="AE432" t="s">
        <v>74</v>
      </c>
      <c r="AF432" t="s">
        <v>74</v>
      </c>
      <c r="AG432">
        <v>21</v>
      </c>
      <c r="AH432">
        <v>4</v>
      </c>
      <c r="AI432">
        <v>4</v>
      </c>
      <c r="AJ432">
        <v>0</v>
      </c>
      <c r="AK432">
        <v>5</v>
      </c>
      <c r="AL432" t="s">
        <v>79</v>
      </c>
      <c r="AM432" t="s">
        <v>80</v>
      </c>
      <c r="AN432" t="s">
        <v>81</v>
      </c>
      <c r="AO432" t="s">
        <v>1208</v>
      </c>
      <c r="AP432" t="s">
        <v>74</v>
      </c>
      <c r="AQ432" t="s">
        <v>74</v>
      </c>
      <c r="AR432" t="s">
        <v>1209</v>
      </c>
      <c r="AS432" t="s">
        <v>1210</v>
      </c>
      <c r="AT432" t="s">
        <v>5712</v>
      </c>
      <c r="AU432">
        <v>2001</v>
      </c>
      <c r="AV432">
        <v>63</v>
      </c>
      <c r="AW432">
        <v>10</v>
      </c>
      <c r="AX432" t="s">
        <v>74</v>
      </c>
      <c r="AY432" t="s">
        <v>74</v>
      </c>
      <c r="AZ432" t="s">
        <v>74</v>
      </c>
      <c r="BA432" t="s">
        <v>74</v>
      </c>
      <c r="BB432">
        <v>993</v>
      </c>
      <c r="BC432">
        <v>1003</v>
      </c>
      <c r="BD432" t="s">
        <v>74</v>
      </c>
      <c r="BE432" t="s">
        <v>6094</v>
      </c>
      <c r="BF432" t="str">
        <f>HYPERLINK("http://dx.doi.org/10.1016/S1364-6826(01)00009-8","http://dx.doi.org/10.1016/S1364-6826(01)00009-8")</f>
        <v>http://dx.doi.org/10.1016/S1364-6826(01)00009-8</v>
      </c>
      <c r="BG432" t="s">
        <v>74</v>
      </c>
      <c r="BH432" t="s">
        <v>74</v>
      </c>
      <c r="BI432">
        <v>11</v>
      </c>
      <c r="BJ432" t="s">
        <v>1212</v>
      </c>
      <c r="BK432" t="s">
        <v>88</v>
      </c>
      <c r="BL432" t="s">
        <v>1212</v>
      </c>
      <c r="BM432" t="s">
        <v>6084</v>
      </c>
      <c r="BN432" t="s">
        <v>74</v>
      </c>
      <c r="BO432" t="s">
        <v>74</v>
      </c>
      <c r="BP432" t="s">
        <v>74</v>
      </c>
      <c r="BQ432" t="s">
        <v>74</v>
      </c>
      <c r="BR432" t="s">
        <v>91</v>
      </c>
      <c r="BS432" t="s">
        <v>6095</v>
      </c>
      <c r="BT432" t="str">
        <f>HYPERLINK("https%3A%2F%2Fwww.webofscience.com%2Fwos%2Fwoscc%2Ffull-record%2FWOS:000169651800003","View Full Record in Web of Science")</f>
        <v>View Full Record in Web of Science</v>
      </c>
    </row>
    <row r="433" spans="1:72" x14ac:dyDescent="0.15">
      <c r="A433" t="s">
        <v>72</v>
      </c>
      <c r="B433" t="s">
        <v>6096</v>
      </c>
      <c r="C433" t="s">
        <v>74</v>
      </c>
      <c r="D433" t="s">
        <v>74</v>
      </c>
      <c r="E433" t="s">
        <v>74</v>
      </c>
      <c r="F433" t="s">
        <v>6096</v>
      </c>
      <c r="G433" t="s">
        <v>74</v>
      </c>
      <c r="H433" t="s">
        <v>74</v>
      </c>
      <c r="I433" t="s">
        <v>6097</v>
      </c>
      <c r="J433" t="s">
        <v>1201</v>
      </c>
      <c r="K433" t="s">
        <v>74</v>
      </c>
      <c r="L433" t="s">
        <v>74</v>
      </c>
      <c r="M433" t="s">
        <v>77</v>
      </c>
      <c r="N433" t="s">
        <v>120</v>
      </c>
      <c r="O433" t="s">
        <v>74</v>
      </c>
      <c r="P433" t="s">
        <v>74</v>
      </c>
      <c r="Q433" t="s">
        <v>74</v>
      </c>
      <c r="R433" t="s">
        <v>74</v>
      </c>
      <c r="S433" t="s">
        <v>74</v>
      </c>
      <c r="T433" t="s">
        <v>6098</v>
      </c>
      <c r="U433" t="s">
        <v>6099</v>
      </c>
      <c r="V433" t="s">
        <v>6100</v>
      </c>
      <c r="W433" t="s">
        <v>6101</v>
      </c>
      <c r="X433" t="s">
        <v>6102</v>
      </c>
      <c r="Y433" t="s">
        <v>6103</v>
      </c>
      <c r="Z433" t="s">
        <v>6104</v>
      </c>
      <c r="AA433" t="s">
        <v>74</v>
      </c>
      <c r="AB433" t="s">
        <v>74</v>
      </c>
      <c r="AC433" t="s">
        <v>74</v>
      </c>
      <c r="AD433" t="s">
        <v>74</v>
      </c>
      <c r="AE433" t="s">
        <v>74</v>
      </c>
      <c r="AF433" t="s">
        <v>74</v>
      </c>
      <c r="AG433">
        <v>55</v>
      </c>
      <c r="AH433">
        <v>13</v>
      </c>
      <c r="AI433">
        <v>14</v>
      </c>
      <c r="AJ433">
        <v>1</v>
      </c>
      <c r="AK433">
        <v>2</v>
      </c>
      <c r="AL433" t="s">
        <v>79</v>
      </c>
      <c r="AM433" t="s">
        <v>80</v>
      </c>
      <c r="AN433" t="s">
        <v>81</v>
      </c>
      <c r="AO433" t="s">
        <v>1208</v>
      </c>
      <c r="AP433" t="s">
        <v>74</v>
      </c>
      <c r="AQ433" t="s">
        <v>74</v>
      </c>
      <c r="AR433" t="s">
        <v>1209</v>
      </c>
      <c r="AS433" t="s">
        <v>1210</v>
      </c>
      <c r="AT433" t="s">
        <v>5712</v>
      </c>
      <c r="AU433">
        <v>2001</v>
      </c>
      <c r="AV433">
        <v>63</v>
      </c>
      <c r="AW433">
        <v>11</v>
      </c>
      <c r="AX433" t="s">
        <v>74</v>
      </c>
      <c r="AY433" t="s">
        <v>74</v>
      </c>
      <c r="AZ433" t="s">
        <v>74</v>
      </c>
      <c r="BA433" t="s">
        <v>74</v>
      </c>
      <c r="BB433">
        <v>1117</v>
      </c>
      <c r="BC433">
        <v>1132</v>
      </c>
      <c r="BD433" t="s">
        <v>74</v>
      </c>
      <c r="BE433" t="s">
        <v>6105</v>
      </c>
      <c r="BF433" t="str">
        <f>HYPERLINK("http://dx.doi.org/10.1016/S1364-6826(00)00217-0","http://dx.doi.org/10.1016/S1364-6826(00)00217-0")</f>
        <v>http://dx.doi.org/10.1016/S1364-6826(00)00217-0</v>
      </c>
      <c r="BG433" t="s">
        <v>74</v>
      </c>
      <c r="BH433" t="s">
        <v>74</v>
      </c>
      <c r="BI433">
        <v>16</v>
      </c>
      <c r="BJ433" t="s">
        <v>1212</v>
      </c>
      <c r="BK433" t="s">
        <v>88</v>
      </c>
      <c r="BL433" t="s">
        <v>1212</v>
      </c>
      <c r="BM433" t="s">
        <v>6106</v>
      </c>
      <c r="BN433" t="s">
        <v>74</v>
      </c>
      <c r="BO433" t="s">
        <v>74</v>
      </c>
      <c r="BP433" t="s">
        <v>74</v>
      </c>
      <c r="BQ433" t="s">
        <v>74</v>
      </c>
      <c r="BR433" t="s">
        <v>91</v>
      </c>
      <c r="BS433" t="s">
        <v>6107</v>
      </c>
      <c r="BT433" t="str">
        <f>HYPERLINK("https%3A%2F%2Fwww.webofscience.com%2Fwos%2Fwoscc%2Ffull-record%2FWOS:000169802900003","View Full Record in Web of Science")</f>
        <v>View Full Record in Web of Science</v>
      </c>
    </row>
    <row r="434" spans="1:72" x14ac:dyDescent="0.15">
      <c r="A434" t="s">
        <v>72</v>
      </c>
      <c r="B434" t="s">
        <v>6108</v>
      </c>
      <c r="C434" t="s">
        <v>74</v>
      </c>
      <c r="D434" t="s">
        <v>74</v>
      </c>
      <c r="E434" t="s">
        <v>74</v>
      </c>
      <c r="F434" t="s">
        <v>6108</v>
      </c>
      <c r="G434" t="s">
        <v>74</v>
      </c>
      <c r="H434" t="s">
        <v>74</v>
      </c>
      <c r="I434" t="s">
        <v>6109</v>
      </c>
      <c r="J434" t="s">
        <v>1201</v>
      </c>
      <c r="K434" t="s">
        <v>74</v>
      </c>
      <c r="L434" t="s">
        <v>74</v>
      </c>
      <c r="M434" t="s">
        <v>77</v>
      </c>
      <c r="N434" t="s">
        <v>120</v>
      </c>
      <c r="O434" t="s">
        <v>74</v>
      </c>
      <c r="P434" t="s">
        <v>74</v>
      </c>
      <c r="Q434" t="s">
        <v>74</v>
      </c>
      <c r="R434" t="s">
        <v>74</v>
      </c>
      <c r="S434" t="s">
        <v>74</v>
      </c>
      <c r="T434" t="s">
        <v>6110</v>
      </c>
      <c r="U434" t="s">
        <v>6111</v>
      </c>
      <c r="V434" t="s">
        <v>6112</v>
      </c>
      <c r="W434" t="s">
        <v>1103</v>
      </c>
      <c r="X434" t="s">
        <v>462</v>
      </c>
      <c r="Y434" t="s">
        <v>6113</v>
      </c>
      <c r="Z434" t="s">
        <v>74</v>
      </c>
      <c r="AA434" t="s">
        <v>74</v>
      </c>
      <c r="AB434" t="s">
        <v>74</v>
      </c>
      <c r="AC434" t="s">
        <v>74</v>
      </c>
      <c r="AD434" t="s">
        <v>74</v>
      </c>
      <c r="AE434" t="s">
        <v>74</v>
      </c>
      <c r="AF434" t="s">
        <v>74</v>
      </c>
      <c r="AG434">
        <v>31</v>
      </c>
      <c r="AH434">
        <v>5</v>
      </c>
      <c r="AI434">
        <v>5</v>
      </c>
      <c r="AJ434">
        <v>0</v>
      </c>
      <c r="AK434">
        <v>0</v>
      </c>
      <c r="AL434" t="s">
        <v>79</v>
      </c>
      <c r="AM434" t="s">
        <v>80</v>
      </c>
      <c r="AN434" t="s">
        <v>81</v>
      </c>
      <c r="AO434" t="s">
        <v>1208</v>
      </c>
      <c r="AP434" t="s">
        <v>74</v>
      </c>
      <c r="AQ434" t="s">
        <v>74</v>
      </c>
      <c r="AR434" t="s">
        <v>1209</v>
      </c>
      <c r="AS434" t="s">
        <v>1210</v>
      </c>
      <c r="AT434" t="s">
        <v>5712</v>
      </c>
      <c r="AU434">
        <v>2001</v>
      </c>
      <c r="AV434">
        <v>63</v>
      </c>
      <c r="AW434">
        <v>11</v>
      </c>
      <c r="AX434" t="s">
        <v>74</v>
      </c>
      <c r="AY434" t="s">
        <v>74</v>
      </c>
      <c r="AZ434" t="s">
        <v>74</v>
      </c>
      <c r="BA434" t="s">
        <v>74</v>
      </c>
      <c r="BB434">
        <v>1149</v>
      </c>
      <c r="BC434">
        <v>1156</v>
      </c>
      <c r="BD434" t="s">
        <v>74</v>
      </c>
      <c r="BE434" t="s">
        <v>6114</v>
      </c>
      <c r="BF434" t="str">
        <f>HYPERLINK("http://dx.doi.org/10.1016/S1364-6826(00)00219-4","http://dx.doi.org/10.1016/S1364-6826(00)00219-4")</f>
        <v>http://dx.doi.org/10.1016/S1364-6826(00)00219-4</v>
      </c>
      <c r="BG434" t="s">
        <v>74</v>
      </c>
      <c r="BH434" t="s">
        <v>74</v>
      </c>
      <c r="BI434">
        <v>8</v>
      </c>
      <c r="BJ434" t="s">
        <v>1212</v>
      </c>
      <c r="BK434" t="s">
        <v>88</v>
      </c>
      <c r="BL434" t="s">
        <v>1212</v>
      </c>
      <c r="BM434" t="s">
        <v>6106</v>
      </c>
      <c r="BN434" t="s">
        <v>74</v>
      </c>
      <c r="BO434" t="s">
        <v>74</v>
      </c>
      <c r="BP434" t="s">
        <v>74</v>
      </c>
      <c r="BQ434" t="s">
        <v>74</v>
      </c>
      <c r="BR434" t="s">
        <v>91</v>
      </c>
      <c r="BS434" t="s">
        <v>6115</v>
      </c>
      <c r="BT434" t="str">
        <f>HYPERLINK("https%3A%2F%2Fwww.webofscience.com%2Fwos%2Fwoscc%2Ffull-record%2FWOS:000169802900005","View Full Record in Web of Science")</f>
        <v>View Full Record in Web of Science</v>
      </c>
    </row>
    <row r="435" spans="1:72" x14ac:dyDescent="0.15">
      <c r="A435" t="s">
        <v>72</v>
      </c>
      <c r="B435" t="s">
        <v>6116</v>
      </c>
      <c r="C435" t="s">
        <v>74</v>
      </c>
      <c r="D435" t="s">
        <v>74</v>
      </c>
      <c r="E435" t="s">
        <v>74</v>
      </c>
      <c r="F435" t="s">
        <v>6116</v>
      </c>
      <c r="G435" t="s">
        <v>74</v>
      </c>
      <c r="H435" t="s">
        <v>74</v>
      </c>
      <c r="I435" t="s">
        <v>6117</v>
      </c>
      <c r="J435" t="s">
        <v>1272</v>
      </c>
      <c r="K435" t="s">
        <v>74</v>
      </c>
      <c r="L435" t="s">
        <v>74</v>
      </c>
      <c r="M435" t="s">
        <v>77</v>
      </c>
      <c r="N435" t="s">
        <v>120</v>
      </c>
      <c r="O435" t="s">
        <v>74</v>
      </c>
      <c r="P435" t="s">
        <v>74</v>
      </c>
      <c r="Q435" t="s">
        <v>74</v>
      </c>
      <c r="R435" t="s">
        <v>74</v>
      </c>
      <c r="S435" t="s">
        <v>74</v>
      </c>
      <c r="T435" t="s">
        <v>74</v>
      </c>
      <c r="U435" t="s">
        <v>6118</v>
      </c>
      <c r="V435" t="s">
        <v>6119</v>
      </c>
      <c r="W435" t="s">
        <v>6120</v>
      </c>
      <c r="X435" t="s">
        <v>6121</v>
      </c>
      <c r="Y435" t="s">
        <v>6122</v>
      </c>
      <c r="Z435" t="s">
        <v>6123</v>
      </c>
      <c r="AA435" t="s">
        <v>74</v>
      </c>
      <c r="AB435" t="s">
        <v>74</v>
      </c>
      <c r="AC435" t="s">
        <v>74</v>
      </c>
      <c r="AD435" t="s">
        <v>74</v>
      </c>
      <c r="AE435" t="s">
        <v>74</v>
      </c>
      <c r="AF435" t="s">
        <v>74</v>
      </c>
      <c r="AG435">
        <v>39</v>
      </c>
      <c r="AH435">
        <v>20</v>
      </c>
      <c r="AI435">
        <v>23</v>
      </c>
      <c r="AJ435">
        <v>0</v>
      </c>
      <c r="AK435">
        <v>1</v>
      </c>
      <c r="AL435" t="s">
        <v>149</v>
      </c>
      <c r="AM435" t="s">
        <v>150</v>
      </c>
      <c r="AN435" t="s">
        <v>151</v>
      </c>
      <c r="AO435" t="s">
        <v>1281</v>
      </c>
      <c r="AP435" t="s">
        <v>1282</v>
      </c>
      <c r="AQ435" t="s">
        <v>74</v>
      </c>
      <c r="AR435" t="s">
        <v>1283</v>
      </c>
      <c r="AS435" t="s">
        <v>1284</v>
      </c>
      <c r="AT435" t="s">
        <v>5984</v>
      </c>
      <c r="AU435">
        <v>2001</v>
      </c>
      <c r="AV435">
        <v>106</v>
      </c>
      <c r="AW435" t="s">
        <v>6124</v>
      </c>
      <c r="AX435" t="s">
        <v>74</v>
      </c>
      <c r="AY435" t="s">
        <v>74</v>
      </c>
      <c r="AZ435" t="s">
        <v>74</v>
      </c>
      <c r="BA435" t="s">
        <v>74</v>
      </c>
      <c r="BB435">
        <v>12875</v>
      </c>
      <c r="BC435">
        <v>12887</v>
      </c>
      <c r="BD435" t="s">
        <v>74</v>
      </c>
      <c r="BE435" t="s">
        <v>6125</v>
      </c>
      <c r="BF435" t="str">
        <f>HYPERLINK("http://dx.doi.org/10.1029/2000JA000165","http://dx.doi.org/10.1029/2000JA000165")</f>
        <v>http://dx.doi.org/10.1029/2000JA000165</v>
      </c>
      <c r="BG435" t="s">
        <v>74</v>
      </c>
      <c r="BH435" t="s">
        <v>74</v>
      </c>
      <c r="BI435">
        <v>13</v>
      </c>
      <c r="BJ435" t="s">
        <v>1139</v>
      </c>
      <c r="BK435" t="s">
        <v>88</v>
      </c>
      <c r="BL435" t="s">
        <v>1139</v>
      </c>
      <c r="BM435" t="s">
        <v>6126</v>
      </c>
      <c r="BN435" t="s">
        <v>74</v>
      </c>
      <c r="BO435" t="s">
        <v>171</v>
      </c>
      <c r="BP435" t="s">
        <v>74</v>
      </c>
      <c r="BQ435" t="s">
        <v>74</v>
      </c>
      <c r="BR435" t="s">
        <v>91</v>
      </c>
      <c r="BS435" t="s">
        <v>6127</v>
      </c>
      <c r="BT435" t="str">
        <f>HYPERLINK("https%3A%2F%2Fwww.webofscience.com%2Fwos%2Fwoscc%2Ffull-record%2FWOS:000169535400011","View Full Record in Web of Science")</f>
        <v>View Full Record in Web of Science</v>
      </c>
    </row>
    <row r="436" spans="1:72" x14ac:dyDescent="0.15">
      <c r="A436" t="s">
        <v>72</v>
      </c>
      <c r="B436" t="s">
        <v>6128</v>
      </c>
      <c r="C436" t="s">
        <v>74</v>
      </c>
      <c r="D436" t="s">
        <v>74</v>
      </c>
      <c r="E436" t="s">
        <v>74</v>
      </c>
      <c r="F436" t="s">
        <v>6128</v>
      </c>
      <c r="G436" t="s">
        <v>74</v>
      </c>
      <c r="H436" t="s">
        <v>74</v>
      </c>
      <c r="I436" t="s">
        <v>6129</v>
      </c>
      <c r="J436" t="s">
        <v>1272</v>
      </c>
      <c r="K436" t="s">
        <v>74</v>
      </c>
      <c r="L436" t="s">
        <v>74</v>
      </c>
      <c r="M436" t="s">
        <v>77</v>
      </c>
      <c r="N436" t="s">
        <v>120</v>
      </c>
      <c r="O436" t="s">
        <v>74</v>
      </c>
      <c r="P436" t="s">
        <v>74</v>
      </c>
      <c r="Q436" t="s">
        <v>74</v>
      </c>
      <c r="R436" t="s">
        <v>74</v>
      </c>
      <c r="S436" t="s">
        <v>74</v>
      </c>
      <c r="T436" t="s">
        <v>74</v>
      </c>
      <c r="U436" t="s">
        <v>6130</v>
      </c>
      <c r="V436" t="s">
        <v>6131</v>
      </c>
      <c r="W436" t="s">
        <v>461</v>
      </c>
      <c r="X436" t="s">
        <v>462</v>
      </c>
      <c r="Y436" t="s">
        <v>6132</v>
      </c>
      <c r="Z436" t="s">
        <v>6133</v>
      </c>
      <c r="AA436" t="s">
        <v>74</v>
      </c>
      <c r="AB436" t="s">
        <v>74</v>
      </c>
      <c r="AC436" t="s">
        <v>74</v>
      </c>
      <c r="AD436" t="s">
        <v>74</v>
      </c>
      <c r="AE436" t="s">
        <v>74</v>
      </c>
      <c r="AF436" t="s">
        <v>74</v>
      </c>
      <c r="AG436">
        <v>9</v>
      </c>
      <c r="AH436">
        <v>9</v>
      </c>
      <c r="AI436">
        <v>9</v>
      </c>
      <c r="AJ436">
        <v>0</v>
      </c>
      <c r="AK436">
        <v>3</v>
      </c>
      <c r="AL436" t="s">
        <v>149</v>
      </c>
      <c r="AM436" t="s">
        <v>150</v>
      </c>
      <c r="AN436" t="s">
        <v>151</v>
      </c>
      <c r="AO436" t="s">
        <v>1281</v>
      </c>
      <c r="AP436" t="s">
        <v>1282</v>
      </c>
      <c r="AQ436" t="s">
        <v>74</v>
      </c>
      <c r="AR436" t="s">
        <v>1283</v>
      </c>
      <c r="AS436" t="s">
        <v>1284</v>
      </c>
      <c r="AT436" t="s">
        <v>5984</v>
      </c>
      <c r="AU436">
        <v>2001</v>
      </c>
      <c r="AV436">
        <v>106</v>
      </c>
      <c r="AW436" t="s">
        <v>6124</v>
      </c>
      <c r="AX436" t="s">
        <v>74</v>
      </c>
      <c r="AY436" t="s">
        <v>74</v>
      </c>
      <c r="AZ436" t="s">
        <v>74</v>
      </c>
      <c r="BA436" t="s">
        <v>74</v>
      </c>
      <c r="BB436">
        <v>13135</v>
      </c>
      <c r="BC436">
        <v>13144</v>
      </c>
      <c r="BD436" t="s">
        <v>74</v>
      </c>
      <c r="BE436" t="s">
        <v>6134</v>
      </c>
      <c r="BF436" t="str">
        <f>HYPERLINK("http://dx.doi.org/10.1029/2000JA900134","http://dx.doi.org/10.1029/2000JA900134")</f>
        <v>http://dx.doi.org/10.1029/2000JA900134</v>
      </c>
      <c r="BG436" t="s">
        <v>74</v>
      </c>
      <c r="BH436" t="s">
        <v>74</v>
      </c>
      <c r="BI436">
        <v>10</v>
      </c>
      <c r="BJ436" t="s">
        <v>1139</v>
      </c>
      <c r="BK436" t="s">
        <v>88</v>
      </c>
      <c r="BL436" t="s">
        <v>1139</v>
      </c>
      <c r="BM436" t="s">
        <v>6126</v>
      </c>
      <c r="BN436" t="s">
        <v>74</v>
      </c>
      <c r="BO436" t="s">
        <v>171</v>
      </c>
      <c r="BP436" t="s">
        <v>74</v>
      </c>
      <c r="BQ436" t="s">
        <v>74</v>
      </c>
      <c r="BR436" t="s">
        <v>91</v>
      </c>
      <c r="BS436" t="s">
        <v>6135</v>
      </c>
      <c r="BT436" t="str">
        <f>HYPERLINK("https%3A%2F%2Fwww.webofscience.com%2Fwos%2Fwoscc%2Ffull-record%2FWOS:000169535400031","View Full Record in Web of Science")</f>
        <v>View Full Record in Web of Science</v>
      </c>
    </row>
    <row r="437" spans="1:72" x14ac:dyDescent="0.15">
      <c r="A437" t="s">
        <v>72</v>
      </c>
      <c r="B437" t="s">
        <v>6136</v>
      </c>
      <c r="C437" t="s">
        <v>74</v>
      </c>
      <c r="D437" t="s">
        <v>74</v>
      </c>
      <c r="E437" t="s">
        <v>74</v>
      </c>
      <c r="F437" t="s">
        <v>6136</v>
      </c>
      <c r="G437" t="s">
        <v>74</v>
      </c>
      <c r="H437" t="s">
        <v>74</v>
      </c>
      <c r="I437" t="s">
        <v>6137</v>
      </c>
      <c r="J437" t="s">
        <v>1272</v>
      </c>
      <c r="K437" t="s">
        <v>74</v>
      </c>
      <c r="L437" t="s">
        <v>74</v>
      </c>
      <c r="M437" t="s">
        <v>77</v>
      </c>
      <c r="N437" t="s">
        <v>120</v>
      </c>
      <c r="O437" t="s">
        <v>74</v>
      </c>
      <c r="P437" t="s">
        <v>74</v>
      </c>
      <c r="Q437" t="s">
        <v>74</v>
      </c>
      <c r="R437" t="s">
        <v>74</v>
      </c>
      <c r="S437" t="s">
        <v>74</v>
      </c>
      <c r="T437" t="s">
        <v>74</v>
      </c>
      <c r="U437" t="s">
        <v>6138</v>
      </c>
      <c r="V437" t="s">
        <v>6139</v>
      </c>
      <c r="W437" t="s">
        <v>6140</v>
      </c>
      <c r="X437" t="s">
        <v>6141</v>
      </c>
      <c r="Y437" t="s">
        <v>6142</v>
      </c>
      <c r="Z437" t="s">
        <v>6143</v>
      </c>
      <c r="AA437" t="s">
        <v>6144</v>
      </c>
      <c r="AB437" t="s">
        <v>6145</v>
      </c>
      <c r="AC437" t="s">
        <v>74</v>
      </c>
      <c r="AD437" t="s">
        <v>74</v>
      </c>
      <c r="AE437" t="s">
        <v>74</v>
      </c>
      <c r="AF437" t="s">
        <v>74</v>
      </c>
      <c r="AG437">
        <v>30</v>
      </c>
      <c r="AH437">
        <v>456</v>
      </c>
      <c r="AI437">
        <v>472</v>
      </c>
      <c r="AJ437">
        <v>1</v>
      </c>
      <c r="AK437">
        <v>22</v>
      </c>
      <c r="AL437" t="s">
        <v>149</v>
      </c>
      <c r="AM437" t="s">
        <v>150</v>
      </c>
      <c r="AN437" t="s">
        <v>151</v>
      </c>
      <c r="AO437" t="s">
        <v>1281</v>
      </c>
      <c r="AP437" t="s">
        <v>1282</v>
      </c>
      <c r="AQ437" t="s">
        <v>74</v>
      </c>
      <c r="AR437" t="s">
        <v>1283</v>
      </c>
      <c r="AS437" t="s">
        <v>1284</v>
      </c>
      <c r="AT437" t="s">
        <v>5984</v>
      </c>
      <c r="AU437">
        <v>2001</v>
      </c>
      <c r="AV437">
        <v>106</v>
      </c>
      <c r="AW437" t="s">
        <v>6124</v>
      </c>
      <c r="AX437" t="s">
        <v>74</v>
      </c>
      <c r="AY437" t="s">
        <v>74</v>
      </c>
      <c r="AZ437" t="s">
        <v>74</v>
      </c>
      <c r="BA437" t="s">
        <v>74</v>
      </c>
      <c r="BB437">
        <v>13165</v>
      </c>
      <c r="BC437">
        <v>13178</v>
      </c>
      <c r="BD437" t="s">
        <v>74</v>
      </c>
      <c r="BE437" t="s">
        <v>6146</v>
      </c>
      <c r="BF437" t="str">
        <f>HYPERLINK("http://dx.doi.org/10.1029/2000JA900156","http://dx.doi.org/10.1029/2000JA900156")</f>
        <v>http://dx.doi.org/10.1029/2000JA900156</v>
      </c>
      <c r="BG437" t="s">
        <v>74</v>
      </c>
      <c r="BH437" t="s">
        <v>74</v>
      </c>
      <c r="BI437">
        <v>14</v>
      </c>
      <c r="BJ437" t="s">
        <v>1139</v>
      </c>
      <c r="BK437" t="s">
        <v>88</v>
      </c>
      <c r="BL437" t="s">
        <v>1139</v>
      </c>
      <c r="BM437" t="s">
        <v>6126</v>
      </c>
      <c r="BN437" t="s">
        <v>74</v>
      </c>
      <c r="BO437" t="s">
        <v>171</v>
      </c>
      <c r="BP437" t="s">
        <v>74</v>
      </c>
      <c r="BQ437" t="s">
        <v>74</v>
      </c>
      <c r="BR437" t="s">
        <v>91</v>
      </c>
      <c r="BS437" t="s">
        <v>6147</v>
      </c>
      <c r="BT437" t="str">
        <f>HYPERLINK("https%3A%2F%2Fwww.webofscience.com%2Fwos%2Fwoscc%2Ffull-record%2FWOS:000169535400033","View Full Record in Web of Science")</f>
        <v>View Full Record in Web of Science</v>
      </c>
    </row>
    <row r="438" spans="1:72" x14ac:dyDescent="0.15">
      <c r="A438" t="s">
        <v>72</v>
      </c>
      <c r="B438" t="s">
        <v>6148</v>
      </c>
      <c r="C438" t="s">
        <v>74</v>
      </c>
      <c r="D438" t="s">
        <v>74</v>
      </c>
      <c r="E438" t="s">
        <v>74</v>
      </c>
      <c r="F438" t="s">
        <v>6148</v>
      </c>
      <c r="G438" t="s">
        <v>74</v>
      </c>
      <c r="H438" t="s">
        <v>74</v>
      </c>
      <c r="I438" t="s">
        <v>6149</v>
      </c>
      <c r="J438" t="s">
        <v>3825</v>
      </c>
      <c r="K438" t="s">
        <v>74</v>
      </c>
      <c r="L438" t="s">
        <v>74</v>
      </c>
      <c r="M438" t="s">
        <v>77</v>
      </c>
      <c r="N438" t="s">
        <v>120</v>
      </c>
      <c r="O438" t="s">
        <v>74</v>
      </c>
      <c r="P438" t="s">
        <v>74</v>
      </c>
      <c r="Q438" t="s">
        <v>74</v>
      </c>
      <c r="R438" t="s">
        <v>74</v>
      </c>
      <c r="S438" t="s">
        <v>74</v>
      </c>
      <c r="T438" t="s">
        <v>6150</v>
      </c>
      <c r="U438" t="s">
        <v>6151</v>
      </c>
      <c r="V438" t="s">
        <v>6152</v>
      </c>
      <c r="W438" t="s">
        <v>6153</v>
      </c>
      <c r="X438" t="s">
        <v>6154</v>
      </c>
      <c r="Y438" t="s">
        <v>6155</v>
      </c>
      <c r="Z438" t="s">
        <v>6156</v>
      </c>
      <c r="AA438" t="s">
        <v>74</v>
      </c>
      <c r="AB438" t="s">
        <v>74</v>
      </c>
      <c r="AC438" t="s">
        <v>74</v>
      </c>
      <c r="AD438" t="s">
        <v>74</v>
      </c>
      <c r="AE438" t="s">
        <v>74</v>
      </c>
      <c r="AF438" t="s">
        <v>74</v>
      </c>
      <c r="AG438">
        <v>17</v>
      </c>
      <c r="AH438">
        <v>6</v>
      </c>
      <c r="AI438">
        <v>6</v>
      </c>
      <c r="AJ438">
        <v>0</v>
      </c>
      <c r="AK438">
        <v>1</v>
      </c>
      <c r="AL438" t="s">
        <v>3836</v>
      </c>
      <c r="AM438" t="s">
        <v>3837</v>
      </c>
      <c r="AN438" t="s">
        <v>3838</v>
      </c>
      <c r="AO438" t="s">
        <v>3839</v>
      </c>
      <c r="AP438" t="s">
        <v>74</v>
      </c>
      <c r="AQ438" t="s">
        <v>74</v>
      </c>
      <c r="AR438" t="s">
        <v>3840</v>
      </c>
      <c r="AS438" t="s">
        <v>3841</v>
      </c>
      <c r="AT438" t="s">
        <v>5712</v>
      </c>
      <c r="AU438">
        <v>2001</v>
      </c>
      <c r="AV438">
        <v>60</v>
      </c>
      <c r="AW438" t="s">
        <v>3507</v>
      </c>
      <c r="AX438" t="s">
        <v>74</v>
      </c>
      <c r="AY438" t="s">
        <v>74</v>
      </c>
      <c r="AZ438" t="s">
        <v>74</v>
      </c>
      <c r="BA438" t="s">
        <v>74</v>
      </c>
      <c r="BB438">
        <v>102</v>
      </c>
      <c r="BC438">
        <v>107</v>
      </c>
      <c r="BD438" t="s">
        <v>74</v>
      </c>
      <c r="BE438" t="s">
        <v>6157</v>
      </c>
      <c r="BF438" t="str">
        <f>HYPERLINK("http://dx.doi.org/10.1016/S1011-1344(01)00131-2","http://dx.doi.org/10.1016/S1011-1344(01)00131-2")</f>
        <v>http://dx.doi.org/10.1016/S1011-1344(01)00131-2</v>
      </c>
      <c r="BG438" t="s">
        <v>74</v>
      </c>
      <c r="BH438" t="s">
        <v>74</v>
      </c>
      <c r="BI438">
        <v>6</v>
      </c>
      <c r="BJ438" t="s">
        <v>2728</v>
      </c>
      <c r="BK438" t="s">
        <v>88</v>
      </c>
      <c r="BL438" t="s">
        <v>2728</v>
      </c>
      <c r="BM438" t="s">
        <v>6158</v>
      </c>
      <c r="BN438">
        <v>11470565</v>
      </c>
      <c r="BO438" t="s">
        <v>74</v>
      </c>
      <c r="BP438" t="s">
        <v>74</v>
      </c>
      <c r="BQ438" t="s">
        <v>74</v>
      </c>
      <c r="BR438" t="s">
        <v>91</v>
      </c>
      <c r="BS438" t="s">
        <v>6159</v>
      </c>
      <c r="BT438" t="str">
        <f>HYPERLINK("https%3A%2F%2Fwww.webofscience.com%2Fwos%2Fwoscc%2Ffull-record%2FWOS:000170571600005","View Full Record in Web of Science")</f>
        <v>View Full Record in Web of Science</v>
      </c>
    </row>
    <row r="439" spans="1:72" x14ac:dyDescent="0.15">
      <c r="A439" t="s">
        <v>72</v>
      </c>
      <c r="B439" t="s">
        <v>6160</v>
      </c>
      <c r="C439" t="s">
        <v>74</v>
      </c>
      <c r="D439" t="s">
        <v>74</v>
      </c>
      <c r="E439" t="s">
        <v>74</v>
      </c>
      <c r="F439" t="s">
        <v>6160</v>
      </c>
      <c r="G439" t="s">
        <v>74</v>
      </c>
      <c r="H439" t="s">
        <v>74</v>
      </c>
      <c r="I439" t="s">
        <v>6161</v>
      </c>
      <c r="J439" t="s">
        <v>3936</v>
      </c>
      <c r="K439" t="s">
        <v>74</v>
      </c>
      <c r="L439" t="s">
        <v>74</v>
      </c>
      <c r="M439" t="s">
        <v>77</v>
      </c>
      <c r="N439" t="s">
        <v>120</v>
      </c>
      <c r="O439" t="s">
        <v>74</v>
      </c>
      <c r="P439" t="s">
        <v>74</v>
      </c>
      <c r="Q439" t="s">
        <v>74</v>
      </c>
      <c r="R439" t="s">
        <v>74</v>
      </c>
      <c r="S439" t="s">
        <v>74</v>
      </c>
      <c r="T439" t="s">
        <v>74</v>
      </c>
      <c r="U439" t="s">
        <v>6162</v>
      </c>
      <c r="V439" t="s">
        <v>6163</v>
      </c>
      <c r="W439" t="s">
        <v>6164</v>
      </c>
      <c r="X439" t="s">
        <v>6165</v>
      </c>
      <c r="Y439" t="s">
        <v>6166</v>
      </c>
      <c r="Z439" t="s">
        <v>74</v>
      </c>
      <c r="AA439" t="s">
        <v>74</v>
      </c>
      <c r="AB439" t="s">
        <v>74</v>
      </c>
      <c r="AC439" t="s">
        <v>74</v>
      </c>
      <c r="AD439" t="s">
        <v>74</v>
      </c>
      <c r="AE439" t="s">
        <v>74</v>
      </c>
      <c r="AF439" t="s">
        <v>74</v>
      </c>
      <c r="AG439">
        <v>64</v>
      </c>
      <c r="AH439">
        <v>51</v>
      </c>
      <c r="AI439">
        <v>67</v>
      </c>
      <c r="AJ439">
        <v>0</v>
      </c>
      <c r="AK439">
        <v>14</v>
      </c>
      <c r="AL439" t="s">
        <v>3942</v>
      </c>
      <c r="AM439" t="s">
        <v>3943</v>
      </c>
      <c r="AN439" t="s">
        <v>3944</v>
      </c>
      <c r="AO439" t="s">
        <v>3945</v>
      </c>
      <c r="AP439" t="s">
        <v>74</v>
      </c>
      <c r="AQ439" t="s">
        <v>74</v>
      </c>
      <c r="AR439" t="s">
        <v>3946</v>
      </c>
      <c r="AS439" t="s">
        <v>3947</v>
      </c>
      <c r="AT439" t="s">
        <v>5712</v>
      </c>
      <c r="AU439">
        <v>2001</v>
      </c>
      <c r="AV439">
        <v>71</v>
      </c>
      <c r="AW439">
        <v>4</v>
      </c>
      <c r="AX439" t="s">
        <v>6167</v>
      </c>
      <c r="AY439" t="s">
        <v>74</v>
      </c>
      <c r="AZ439" t="s">
        <v>74</v>
      </c>
      <c r="BA439" t="s">
        <v>74</v>
      </c>
      <c r="BB439">
        <v>581</v>
      </c>
      <c r="BC439">
        <v>588</v>
      </c>
      <c r="BD439" t="s">
        <v>74</v>
      </c>
      <c r="BE439" t="s">
        <v>6168</v>
      </c>
      <c r="BF439" t="str">
        <f>HYPERLINK("http://dx.doi.org/10.1306/112100710581","http://dx.doi.org/10.1306/112100710581")</f>
        <v>http://dx.doi.org/10.1306/112100710581</v>
      </c>
      <c r="BG439" t="s">
        <v>74</v>
      </c>
      <c r="BH439" t="s">
        <v>74</v>
      </c>
      <c r="BI439">
        <v>8</v>
      </c>
      <c r="BJ439" t="s">
        <v>113</v>
      </c>
      <c r="BK439" t="s">
        <v>88</v>
      </c>
      <c r="BL439" t="s">
        <v>113</v>
      </c>
      <c r="BM439" t="s">
        <v>6169</v>
      </c>
      <c r="BN439" t="s">
        <v>74</v>
      </c>
      <c r="BO439" t="s">
        <v>74</v>
      </c>
      <c r="BP439" t="s">
        <v>74</v>
      </c>
      <c r="BQ439" t="s">
        <v>74</v>
      </c>
      <c r="BR439" t="s">
        <v>91</v>
      </c>
      <c r="BS439" t="s">
        <v>6170</v>
      </c>
      <c r="BT439" t="str">
        <f>HYPERLINK("https%3A%2F%2Fwww.webofscience.com%2Fwos%2Fwoscc%2Ffull-record%2FWOS:000169799500007","View Full Record in Web of Science")</f>
        <v>View Full Record in Web of Science</v>
      </c>
    </row>
    <row r="440" spans="1:72" x14ac:dyDescent="0.15">
      <c r="A440" t="s">
        <v>72</v>
      </c>
      <c r="B440" t="s">
        <v>6171</v>
      </c>
      <c r="C440" t="s">
        <v>74</v>
      </c>
      <c r="D440" t="s">
        <v>74</v>
      </c>
      <c r="E440" t="s">
        <v>74</v>
      </c>
      <c r="F440" t="s">
        <v>6171</v>
      </c>
      <c r="G440" t="s">
        <v>74</v>
      </c>
      <c r="H440" t="s">
        <v>74</v>
      </c>
      <c r="I440" t="s">
        <v>6172</v>
      </c>
      <c r="J440" t="s">
        <v>1364</v>
      </c>
      <c r="K440" t="s">
        <v>74</v>
      </c>
      <c r="L440" t="s">
        <v>74</v>
      </c>
      <c r="M440" t="s">
        <v>77</v>
      </c>
      <c r="N440" t="s">
        <v>120</v>
      </c>
      <c r="O440" t="s">
        <v>74</v>
      </c>
      <c r="P440" t="s">
        <v>74</v>
      </c>
      <c r="Q440" t="s">
        <v>74</v>
      </c>
      <c r="R440" t="s">
        <v>74</v>
      </c>
      <c r="S440" t="s">
        <v>74</v>
      </c>
      <c r="T440" t="s">
        <v>6173</v>
      </c>
      <c r="U440" t="s">
        <v>6174</v>
      </c>
      <c r="V440" t="s">
        <v>6175</v>
      </c>
      <c r="W440" t="s">
        <v>6176</v>
      </c>
      <c r="X440" t="s">
        <v>6177</v>
      </c>
      <c r="Y440" t="s">
        <v>6178</v>
      </c>
      <c r="Z440" t="s">
        <v>6179</v>
      </c>
      <c r="AA440" t="s">
        <v>6180</v>
      </c>
      <c r="AB440" t="s">
        <v>6181</v>
      </c>
      <c r="AC440" t="s">
        <v>74</v>
      </c>
      <c r="AD440" t="s">
        <v>74</v>
      </c>
      <c r="AE440" t="s">
        <v>74</v>
      </c>
      <c r="AF440" t="s">
        <v>74</v>
      </c>
      <c r="AG440">
        <v>57</v>
      </c>
      <c r="AH440">
        <v>77</v>
      </c>
      <c r="AI440">
        <v>81</v>
      </c>
      <c r="AJ440">
        <v>1</v>
      </c>
      <c r="AK440">
        <v>30</v>
      </c>
      <c r="AL440" t="s">
        <v>1372</v>
      </c>
      <c r="AM440" t="s">
        <v>1373</v>
      </c>
      <c r="AN440" t="s">
        <v>1374</v>
      </c>
      <c r="AO440" t="s">
        <v>1375</v>
      </c>
      <c r="AP440" t="s">
        <v>1376</v>
      </c>
      <c r="AQ440" t="s">
        <v>74</v>
      </c>
      <c r="AR440" t="s">
        <v>1377</v>
      </c>
      <c r="AS440" t="s">
        <v>1378</v>
      </c>
      <c r="AT440" t="s">
        <v>5712</v>
      </c>
      <c r="AU440">
        <v>2001</v>
      </c>
      <c r="AV440">
        <v>158</v>
      </c>
      <c r="AW440" t="s">
        <v>74</v>
      </c>
      <c r="AX440">
        <v>4</v>
      </c>
      <c r="AY440" t="s">
        <v>74</v>
      </c>
      <c r="AZ440" t="s">
        <v>74</v>
      </c>
      <c r="BA440" t="s">
        <v>74</v>
      </c>
      <c r="BB440">
        <v>697</v>
      </c>
      <c r="BC440">
        <v>707</v>
      </c>
      <c r="BD440" t="s">
        <v>74</v>
      </c>
      <c r="BE440" t="s">
        <v>6182</v>
      </c>
      <c r="BF440" t="str">
        <f>HYPERLINK("http://dx.doi.org/10.1144/jgs.158.4.697","http://dx.doi.org/10.1144/jgs.158.4.697")</f>
        <v>http://dx.doi.org/10.1144/jgs.158.4.697</v>
      </c>
      <c r="BG440" t="s">
        <v>74</v>
      </c>
      <c r="BH440" t="s">
        <v>74</v>
      </c>
      <c r="BI440">
        <v>11</v>
      </c>
      <c r="BJ440" t="s">
        <v>300</v>
      </c>
      <c r="BK440" t="s">
        <v>88</v>
      </c>
      <c r="BL440" t="s">
        <v>113</v>
      </c>
      <c r="BM440" t="s">
        <v>6183</v>
      </c>
      <c r="BN440" t="s">
        <v>74</v>
      </c>
      <c r="BO440" t="s">
        <v>74</v>
      </c>
      <c r="BP440" t="s">
        <v>74</v>
      </c>
      <c r="BQ440" t="s">
        <v>74</v>
      </c>
      <c r="BR440" t="s">
        <v>91</v>
      </c>
      <c r="BS440" t="s">
        <v>6184</v>
      </c>
      <c r="BT440" t="str">
        <f>HYPERLINK("https%3A%2F%2Fwww.webofscience.com%2Fwos%2Fwoscc%2Ffull-record%2FWOS:000169581900012","View Full Record in Web of Science")</f>
        <v>View Full Record in Web of Science</v>
      </c>
    </row>
    <row r="441" spans="1:72" x14ac:dyDescent="0.15">
      <c r="A441" t="s">
        <v>72</v>
      </c>
      <c r="B441" t="s">
        <v>6185</v>
      </c>
      <c r="C441" t="s">
        <v>74</v>
      </c>
      <c r="D441" t="s">
        <v>74</v>
      </c>
      <c r="E441" t="s">
        <v>74</v>
      </c>
      <c r="F441" t="s">
        <v>6185</v>
      </c>
      <c r="G441" t="s">
        <v>74</v>
      </c>
      <c r="H441" t="s">
        <v>74</v>
      </c>
      <c r="I441" t="s">
        <v>6186</v>
      </c>
      <c r="J441" t="s">
        <v>1364</v>
      </c>
      <c r="K441" t="s">
        <v>74</v>
      </c>
      <c r="L441" t="s">
        <v>74</v>
      </c>
      <c r="M441" t="s">
        <v>77</v>
      </c>
      <c r="N441" t="s">
        <v>120</v>
      </c>
      <c r="O441" t="s">
        <v>74</v>
      </c>
      <c r="P441" t="s">
        <v>74</v>
      </c>
      <c r="Q441" t="s">
        <v>74</v>
      </c>
      <c r="R441" t="s">
        <v>74</v>
      </c>
      <c r="S441" t="s">
        <v>74</v>
      </c>
      <c r="T441" t="s">
        <v>6187</v>
      </c>
      <c r="U441" t="s">
        <v>6188</v>
      </c>
      <c r="V441" t="s">
        <v>6189</v>
      </c>
      <c r="W441" t="s">
        <v>6190</v>
      </c>
      <c r="X441" t="s">
        <v>6191</v>
      </c>
      <c r="Y441" t="s">
        <v>3647</v>
      </c>
      <c r="Z441" t="s">
        <v>3648</v>
      </c>
      <c r="AA441" t="s">
        <v>6192</v>
      </c>
      <c r="AB441" t="s">
        <v>1586</v>
      </c>
      <c r="AC441" t="s">
        <v>74</v>
      </c>
      <c r="AD441" t="s">
        <v>74</v>
      </c>
      <c r="AE441" t="s">
        <v>74</v>
      </c>
      <c r="AF441" t="s">
        <v>74</v>
      </c>
      <c r="AG441">
        <v>92</v>
      </c>
      <c r="AH441">
        <v>81</v>
      </c>
      <c r="AI441">
        <v>83</v>
      </c>
      <c r="AJ441">
        <v>1</v>
      </c>
      <c r="AK441">
        <v>20</v>
      </c>
      <c r="AL441" t="s">
        <v>1372</v>
      </c>
      <c r="AM441" t="s">
        <v>1373</v>
      </c>
      <c r="AN441" t="s">
        <v>1374</v>
      </c>
      <c r="AO441" t="s">
        <v>1375</v>
      </c>
      <c r="AP441" t="s">
        <v>1376</v>
      </c>
      <c r="AQ441" t="s">
        <v>74</v>
      </c>
      <c r="AR441" t="s">
        <v>1377</v>
      </c>
      <c r="AS441" t="s">
        <v>1378</v>
      </c>
      <c r="AT441" t="s">
        <v>5712</v>
      </c>
      <c r="AU441">
        <v>2001</v>
      </c>
      <c r="AV441">
        <v>158</v>
      </c>
      <c r="AW441" t="s">
        <v>74</v>
      </c>
      <c r="AX441">
        <v>4</v>
      </c>
      <c r="AY441" t="s">
        <v>74</v>
      </c>
      <c r="AZ441" t="s">
        <v>74</v>
      </c>
      <c r="BA441" t="s">
        <v>74</v>
      </c>
      <c r="BB441">
        <v>709</v>
      </c>
      <c r="BC441">
        <v>724</v>
      </c>
      <c r="BD441" t="s">
        <v>74</v>
      </c>
      <c r="BE441" t="s">
        <v>6193</v>
      </c>
      <c r="BF441" t="str">
        <f>HYPERLINK("http://dx.doi.org/10.1144/jgs.158.4.709","http://dx.doi.org/10.1144/jgs.158.4.709")</f>
        <v>http://dx.doi.org/10.1144/jgs.158.4.709</v>
      </c>
      <c r="BG441" t="s">
        <v>74</v>
      </c>
      <c r="BH441" t="s">
        <v>74</v>
      </c>
      <c r="BI441">
        <v>16</v>
      </c>
      <c r="BJ441" t="s">
        <v>300</v>
      </c>
      <c r="BK441" t="s">
        <v>88</v>
      </c>
      <c r="BL441" t="s">
        <v>113</v>
      </c>
      <c r="BM441" t="s">
        <v>6183</v>
      </c>
      <c r="BN441" t="s">
        <v>74</v>
      </c>
      <c r="BO441" t="s">
        <v>74</v>
      </c>
      <c r="BP441" t="s">
        <v>74</v>
      </c>
      <c r="BQ441" t="s">
        <v>74</v>
      </c>
      <c r="BR441" t="s">
        <v>91</v>
      </c>
      <c r="BS441" t="s">
        <v>6194</v>
      </c>
      <c r="BT441" t="str">
        <f>HYPERLINK("https%3A%2F%2Fwww.webofscience.com%2Fwos%2Fwoscc%2Ffull-record%2FWOS:000169581900013","View Full Record in Web of Science")</f>
        <v>View Full Record in Web of Science</v>
      </c>
    </row>
    <row r="442" spans="1:72" x14ac:dyDescent="0.15">
      <c r="A442" t="s">
        <v>72</v>
      </c>
      <c r="B442" t="s">
        <v>6195</v>
      </c>
      <c r="C442" t="s">
        <v>74</v>
      </c>
      <c r="D442" t="s">
        <v>74</v>
      </c>
      <c r="E442" t="s">
        <v>74</v>
      </c>
      <c r="F442" t="s">
        <v>6195</v>
      </c>
      <c r="G442" t="s">
        <v>74</v>
      </c>
      <c r="H442" t="s">
        <v>74</v>
      </c>
      <c r="I442" t="s">
        <v>6196</v>
      </c>
      <c r="J442" t="s">
        <v>6197</v>
      </c>
      <c r="K442" t="s">
        <v>74</v>
      </c>
      <c r="L442" t="s">
        <v>74</v>
      </c>
      <c r="M442" t="s">
        <v>77</v>
      </c>
      <c r="N442" t="s">
        <v>120</v>
      </c>
      <c r="O442" t="s">
        <v>74</v>
      </c>
      <c r="P442" t="s">
        <v>74</v>
      </c>
      <c r="Q442" t="s">
        <v>74</v>
      </c>
      <c r="R442" t="s">
        <v>74</v>
      </c>
      <c r="S442" t="s">
        <v>74</v>
      </c>
      <c r="T442" t="s">
        <v>74</v>
      </c>
      <c r="U442" t="s">
        <v>6198</v>
      </c>
      <c r="V442" t="s">
        <v>6199</v>
      </c>
      <c r="W442" t="s">
        <v>6200</v>
      </c>
      <c r="X442" t="s">
        <v>4162</v>
      </c>
      <c r="Y442" t="s">
        <v>6201</v>
      </c>
      <c r="Z442" t="s">
        <v>6202</v>
      </c>
      <c r="AA442" t="s">
        <v>6203</v>
      </c>
      <c r="AB442" t="s">
        <v>6204</v>
      </c>
      <c r="AC442" t="s">
        <v>74</v>
      </c>
      <c r="AD442" t="s">
        <v>74</v>
      </c>
      <c r="AE442" t="s">
        <v>74</v>
      </c>
      <c r="AF442" t="s">
        <v>74</v>
      </c>
      <c r="AG442">
        <v>26</v>
      </c>
      <c r="AH442">
        <v>152</v>
      </c>
      <c r="AI442">
        <v>158</v>
      </c>
      <c r="AJ442">
        <v>1</v>
      </c>
      <c r="AK442">
        <v>18</v>
      </c>
      <c r="AL442" t="s">
        <v>1247</v>
      </c>
      <c r="AM442" t="s">
        <v>1248</v>
      </c>
      <c r="AN442" t="s">
        <v>1249</v>
      </c>
      <c r="AO442" t="s">
        <v>6205</v>
      </c>
      <c r="AP442" t="s">
        <v>6206</v>
      </c>
      <c r="AQ442" t="s">
        <v>74</v>
      </c>
      <c r="AR442" t="s">
        <v>6207</v>
      </c>
      <c r="AS442" t="s">
        <v>6208</v>
      </c>
      <c r="AT442" t="s">
        <v>5712</v>
      </c>
      <c r="AU442">
        <v>2001</v>
      </c>
      <c r="AV442">
        <v>46</v>
      </c>
      <c r="AW442">
        <v>5</v>
      </c>
      <c r="AX442" t="s">
        <v>74</v>
      </c>
      <c r="AY442" t="s">
        <v>74</v>
      </c>
      <c r="AZ442" t="s">
        <v>74</v>
      </c>
      <c r="BA442" t="s">
        <v>74</v>
      </c>
      <c r="BB442">
        <v>1181</v>
      </c>
      <c r="BC442">
        <v>1188</v>
      </c>
      <c r="BD442" t="s">
        <v>74</v>
      </c>
      <c r="BE442" t="s">
        <v>6209</v>
      </c>
      <c r="BF442" t="str">
        <f>HYPERLINK("http://dx.doi.org/10.4319/lo.2001.46.5.1181","http://dx.doi.org/10.4319/lo.2001.46.5.1181")</f>
        <v>http://dx.doi.org/10.4319/lo.2001.46.5.1181</v>
      </c>
      <c r="BG442" t="s">
        <v>74</v>
      </c>
      <c r="BH442" t="s">
        <v>74</v>
      </c>
      <c r="BI442">
        <v>8</v>
      </c>
      <c r="BJ442" t="s">
        <v>6210</v>
      </c>
      <c r="BK442" t="s">
        <v>88</v>
      </c>
      <c r="BL442" t="s">
        <v>2574</v>
      </c>
      <c r="BM442" t="s">
        <v>6211</v>
      </c>
      <c r="BN442" t="s">
        <v>74</v>
      </c>
      <c r="BO442" t="s">
        <v>115</v>
      </c>
      <c r="BP442" t="s">
        <v>74</v>
      </c>
      <c r="BQ442" t="s">
        <v>74</v>
      </c>
      <c r="BR442" t="s">
        <v>91</v>
      </c>
      <c r="BS442" t="s">
        <v>6212</v>
      </c>
      <c r="BT442" t="str">
        <f>HYPERLINK("https%3A%2F%2Fwww.webofscience.com%2Fwos%2Fwoscc%2Ffull-record%2FWOS:000169913700017","View Full Record in Web of Science")</f>
        <v>View Full Record in Web of Science</v>
      </c>
    </row>
    <row r="443" spans="1:72" x14ac:dyDescent="0.15">
      <c r="A443" t="s">
        <v>72</v>
      </c>
      <c r="B443" t="s">
        <v>6213</v>
      </c>
      <c r="C443" t="s">
        <v>74</v>
      </c>
      <c r="D443" t="s">
        <v>74</v>
      </c>
      <c r="E443" t="s">
        <v>74</v>
      </c>
      <c r="F443" t="s">
        <v>6213</v>
      </c>
      <c r="G443" t="s">
        <v>74</v>
      </c>
      <c r="H443" t="s">
        <v>74</v>
      </c>
      <c r="I443" t="s">
        <v>6214</v>
      </c>
      <c r="J443" t="s">
        <v>1415</v>
      </c>
      <c r="K443" t="s">
        <v>74</v>
      </c>
      <c r="L443" t="s">
        <v>74</v>
      </c>
      <c r="M443" t="s">
        <v>77</v>
      </c>
      <c r="N443" t="s">
        <v>120</v>
      </c>
      <c r="O443" t="s">
        <v>74</v>
      </c>
      <c r="P443" t="s">
        <v>74</v>
      </c>
      <c r="Q443" t="s">
        <v>74</v>
      </c>
      <c r="R443" t="s">
        <v>74</v>
      </c>
      <c r="S443" t="s">
        <v>74</v>
      </c>
      <c r="T443" t="s">
        <v>74</v>
      </c>
      <c r="U443" t="s">
        <v>6215</v>
      </c>
      <c r="V443" t="s">
        <v>6216</v>
      </c>
      <c r="W443" t="s">
        <v>6217</v>
      </c>
      <c r="X443" t="s">
        <v>6218</v>
      </c>
      <c r="Y443" t="s">
        <v>6219</v>
      </c>
      <c r="Z443" t="s">
        <v>74</v>
      </c>
      <c r="AA443" t="s">
        <v>74</v>
      </c>
      <c r="AB443" t="s">
        <v>6220</v>
      </c>
      <c r="AC443" t="s">
        <v>74</v>
      </c>
      <c r="AD443" t="s">
        <v>74</v>
      </c>
      <c r="AE443" t="s">
        <v>74</v>
      </c>
      <c r="AF443" t="s">
        <v>74</v>
      </c>
      <c r="AG443">
        <v>67</v>
      </c>
      <c r="AH443">
        <v>119</v>
      </c>
      <c r="AI443">
        <v>135</v>
      </c>
      <c r="AJ443">
        <v>0</v>
      </c>
      <c r="AK443">
        <v>36</v>
      </c>
      <c r="AL443" t="s">
        <v>203</v>
      </c>
      <c r="AM443" t="s">
        <v>204</v>
      </c>
      <c r="AN443" t="s">
        <v>205</v>
      </c>
      <c r="AO443" t="s">
        <v>1421</v>
      </c>
      <c r="AP443" t="s">
        <v>74</v>
      </c>
      <c r="AQ443" t="s">
        <v>74</v>
      </c>
      <c r="AR443" t="s">
        <v>1422</v>
      </c>
      <c r="AS443" t="s">
        <v>1423</v>
      </c>
      <c r="AT443" t="s">
        <v>5712</v>
      </c>
      <c r="AU443">
        <v>2001</v>
      </c>
      <c r="AV443">
        <v>139</v>
      </c>
      <c r="AW443">
        <v>1</v>
      </c>
      <c r="AX443" t="s">
        <v>74</v>
      </c>
      <c r="AY443" t="s">
        <v>74</v>
      </c>
      <c r="AZ443" t="s">
        <v>74</v>
      </c>
      <c r="BA443" t="s">
        <v>74</v>
      </c>
      <c r="BB443">
        <v>95</v>
      </c>
      <c r="BC443">
        <v>104</v>
      </c>
      <c r="BD443" t="s">
        <v>74</v>
      </c>
      <c r="BE443" t="s">
        <v>6221</v>
      </c>
      <c r="BF443" t="str">
        <f>HYPERLINK("http://dx.doi.org/10.1007/s002270000527","http://dx.doi.org/10.1007/s002270000527")</f>
        <v>http://dx.doi.org/10.1007/s002270000527</v>
      </c>
      <c r="BG443" t="s">
        <v>74</v>
      </c>
      <c r="BH443" t="s">
        <v>74</v>
      </c>
      <c r="BI443">
        <v>10</v>
      </c>
      <c r="BJ443" t="s">
        <v>323</v>
      </c>
      <c r="BK443" t="s">
        <v>88</v>
      </c>
      <c r="BL443" t="s">
        <v>323</v>
      </c>
      <c r="BM443" t="s">
        <v>6222</v>
      </c>
      <c r="BN443" t="s">
        <v>74</v>
      </c>
      <c r="BO443" t="s">
        <v>74</v>
      </c>
      <c r="BP443" t="s">
        <v>74</v>
      </c>
      <c r="BQ443" t="s">
        <v>74</v>
      </c>
      <c r="BR443" t="s">
        <v>91</v>
      </c>
      <c r="BS443" t="s">
        <v>6223</v>
      </c>
      <c r="BT443" t="str">
        <f>HYPERLINK("https%3A%2F%2Fwww.webofscience.com%2Fwos%2Fwoscc%2Ffull-record%2FWOS:000170342400010","View Full Record in Web of Science")</f>
        <v>View Full Record in Web of Science</v>
      </c>
    </row>
    <row r="444" spans="1:72" x14ac:dyDescent="0.15">
      <c r="A444" t="s">
        <v>72</v>
      </c>
      <c r="B444" t="s">
        <v>6224</v>
      </c>
      <c r="C444" t="s">
        <v>74</v>
      </c>
      <c r="D444" t="s">
        <v>74</v>
      </c>
      <c r="E444" t="s">
        <v>74</v>
      </c>
      <c r="F444" t="s">
        <v>6224</v>
      </c>
      <c r="G444" t="s">
        <v>74</v>
      </c>
      <c r="H444" t="s">
        <v>74</v>
      </c>
      <c r="I444" t="s">
        <v>6225</v>
      </c>
      <c r="J444" t="s">
        <v>1415</v>
      </c>
      <c r="K444" t="s">
        <v>74</v>
      </c>
      <c r="L444" t="s">
        <v>74</v>
      </c>
      <c r="M444" t="s">
        <v>77</v>
      </c>
      <c r="N444" t="s">
        <v>120</v>
      </c>
      <c r="O444" t="s">
        <v>74</v>
      </c>
      <c r="P444" t="s">
        <v>74</v>
      </c>
      <c r="Q444" t="s">
        <v>74</v>
      </c>
      <c r="R444" t="s">
        <v>74</v>
      </c>
      <c r="S444" t="s">
        <v>74</v>
      </c>
      <c r="T444" t="s">
        <v>74</v>
      </c>
      <c r="U444" t="s">
        <v>6226</v>
      </c>
      <c r="V444" t="s">
        <v>6227</v>
      </c>
      <c r="W444" t="s">
        <v>6228</v>
      </c>
      <c r="X444" t="s">
        <v>462</v>
      </c>
      <c r="Y444" t="s">
        <v>6229</v>
      </c>
      <c r="Z444" t="s">
        <v>74</v>
      </c>
      <c r="AA444" t="s">
        <v>74</v>
      </c>
      <c r="AB444" t="s">
        <v>74</v>
      </c>
      <c r="AC444" t="s">
        <v>74</v>
      </c>
      <c r="AD444" t="s">
        <v>74</v>
      </c>
      <c r="AE444" t="s">
        <v>74</v>
      </c>
      <c r="AF444" t="s">
        <v>74</v>
      </c>
      <c r="AG444">
        <v>60</v>
      </c>
      <c r="AH444">
        <v>71</v>
      </c>
      <c r="AI444">
        <v>76</v>
      </c>
      <c r="AJ444">
        <v>0</v>
      </c>
      <c r="AK444">
        <v>12</v>
      </c>
      <c r="AL444" t="s">
        <v>203</v>
      </c>
      <c r="AM444" t="s">
        <v>204</v>
      </c>
      <c r="AN444" t="s">
        <v>205</v>
      </c>
      <c r="AO444" t="s">
        <v>1421</v>
      </c>
      <c r="AP444" t="s">
        <v>74</v>
      </c>
      <c r="AQ444" t="s">
        <v>74</v>
      </c>
      <c r="AR444" t="s">
        <v>1422</v>
      </c>
      <c r="AS444" t="s">
        <v>1423</v>
      </c>
      <c r="AT444" t="s">
        <v>5712</v>
      </c>
      <c r="AU444">
        <v>2001</v>
      </c>
      <c r="AV444">
        <v>139</v>
      </c>
      <c r="AW444">
        <v>1</v>
      </c>
      <c r="AX444" t="s">
        <v>74</v>
      </c>
      <c r="AY444" t="s">
        <v>74</v>
      </c>
      <c r="AZ444" t="s">
        <v>74</v>
      </c>
      <c r="BA444" t="s">
        <v>74</v>
      </c>
      <c r="BB444">
        <v>127</v>
      </c>
      <c r="BC444">
        <v>138</v>
      </c>
      <c r="BD444" t="s">
        <v>74</v>
      </c>
      <c r="BE444" t="s">
        <v>74</v>
      </c>
      <c r="BF444" t="s">
        <v>74</v>
      </c>
      <c r="BG444" t="s">
        <v>74</v>
      </c>
      <c r="BH444" t="s">
        <v>74</v>
      </c>
      <c r="BI444">
        <v>12</v>
      </c>
      <c r="BJ444" t="s">
        <v>323</v>
      </c>
      <c r="BK444" t="s">
        <v>88</v>
      </c>
      <c r="BL444" t="s">
        <v>323</v>
      </c>
      <c r="BM444" t="s">
        <v>6222</v>
      </c>
      <c r="BN444" t="s">
        <v>74</v>
      </c>
      <c r="BO444" t="s">
        <v>74</v>
      </c>
      <c r="BP444" t="s">
        <v>74</v>
      </c>
      <c r="BQ444" t="s">
        <v>74</v>
      </c>
      <c r="BR444" t="s">
        <v>91</v>
      </c>
      <c r="BS444" t="s">
        <v>6230</v>
      </c>
      <c r="BT444" t="str">
        <f>HYPERLINK("https%3A%2F%2Fwww.webofscience.com%2Fwos%2Fwoscc%2Ffull-record%2FWOS:000170342400013","View Full Record in Web of Science")</f>
        <v>View Full Record in Web of Science</v>
      </c>
    </row>
    <row r="445" spans="1:72" x14ac:dyDescent="0.15">
      <c r="A445" t="s">
        <v>72</v>
      </c>
      <c r="B445" t="s">
        <v>6231</v>
      </c>
      <c r="C445" t="s">
        <v>74</v>
      </c>
      <c r="D445" t="s">
        <v>74</v>
      </c>
      <c r="E445" t="s">
        <v>74</v>
      </c>
      <c r="F445" t="s">
        <v>6231</v>
      </c>
      <c r="G445" t="s">
        <v>74</v>
      </c>
      <c r="H445" t="s">
        <v>74</v>
      </c>
      <c r="I445" t="s">
        <v>6232</v>
      </c>
      <c r="J445" t="s">
        <v>2652</v>
      </c>
      <c r="K445" t="s">
        <v>74</v>
      </c>
      <c r="L445" t="s">
        <v>74</v>
      </c>
      <c r="M445" t="s">
        <v>77</v>
      </c>
      <c r="N445" t="s">
        <v>120</v>
      </c>
      <c r="O445" t="s">
        <v>74</v>
      </c>
      <c r="P445" t="s">
        <v>74</v>
      </c>
      <c r="Q445" t="s">
        <v>74</v>
      </c>
      <c r="R445" t="s">
        <v>74</v>
      </c>
      <c r="S445" t="s">
        <v>74</v>
      </c>
      <c r="T445" t="s">
        <v>6233</v>
      </c>
      <c r="U445" t="s">
        <v>6234</v>
      </c>
      <c r="V445" t="s">
        <v>6235</v>
      </c>
      <c r="W445" t="s">
        <v>6236</v>
      </c>
      <c r="X445" t="s">
        <v>74</v>
      </c>
      <c r="Y445" t="s">
        <v>6237</v>
      </c>
      <c r="Z445" t="s">
        <v>74</v>
      </c>
      <c r="AA445" t="s">
        <v>74</v>
      </c>
      <c r="AB445" t="s">
        <v>74</v>
      </c>
      <c r="AC445" t="s">
        <v>74</v>
      </c>
      <c r="AD445" t="s">
        <v>74</v>
      </c>
      <c r="AE445" t="s">
        <v>74</v>
      </c>
      <c r="AF445" t="s">
        <v>74</v>
      </c>
      <c r="AG445">
        <v>29</v>
      </c>
      <c r="AH445">
        <v>13</v>
      </c>
      <c r="AI445">
        <v>18</v>
      </c>
      <c r="AJ445">
        <v>0</v>
      </c>
      <c r="AK445">
        <v>9</v>
      </c>
      <c r="AL445" t="s">
        <v>2660</v>
      </c>
      <c r="AM445" t="s">
        <v>994</v>
      </c>
      <c r="AN445" t="s">
        <v>2661</v>
      </c>
      <c r="AO445" t="s">
        <v>2662</v>
      </c>
      <c r="AP445" t="s">
        <v>74</v>
      </c>
      <c r="AQ445" t="s">
        <v>74</v>
      </c>
      <c r="AR445" t="s">
        <v>2663</v>
      </c>
      <c r="AS445" t="s">
        <v>2664</v>
      </c>
      <c r="AT445" t="s">
        <v>5712</v>
      </c>
      <c r="AU445">
        <v>2001</v>
      </c>
      <c r="AV445">
        <v>17</v>
      </c>
      <c r="AW445">
        <v>3</v>
      </c>
      <c r="AX445" t="s">
        <v>74</v>
      </c>
      <c r="AY445" t="s">
        <v>74</v>
      </c>
      <c r="AZ445" t="s">
        <v>74</v>
      </c>
      <c r="BA445" t="s">
        <v>74</v>
      </c>
      <c r="BB445">
        <v>473</v>
      </c>
      <c r="BC445">
        <v>493</v>
      </c>
      <c r="BD445" t="s">
        <v>74</v>
      </c>
      <c r="BE445" t="s">
        <v>6238</v>
      </c>
      <c r="BF445" t="str">
        <f>HYPERLINK("http://dx.doi.org/10.1111/j.1748-7692.2001.tb00999.x","http://dx.doi.org/10.1111/j.1748-7692.2001.tb00999.x")</f>
        <v>http://dx.doi.org/10.1111/j.1748-7692.2001.tb00999.x</v>
      </c>
      <c r="BG445" t="s">
        <v>74</v>
      </c>
      <c r="BH445" t="s">
        <v>74</v>
      </c>
      <c r="BI445">
        <v>21</v>
      </c>
      <c r="BJ445" t="s">
        <v>2666</v>
      </c>
      <c r="BK445" t="s">
        <v>88</v>
      </c>
      <c r="BL445" t="s">
        <v>2666</v>
      </c>
      <c r="BM445" t="s">
        <v>6239</v>
      </c>
      <c r="BN445" t="s">
        <v>74</v>
      </c>
      <c r="BO445" t="s">
        <v>171</v>
      </c>
      <c r="BP445" t="s">
        <v>74</v>
      </c>
      <c r="BQ445" t="s">
        <v>74</v>
      </c>
      <c r="BR445" t="s">
        <v>91</v>
      </c>
      <c r="BS445" t="s">
        <v>6240</v>
      </c>
      <c r="BT445" t="str">
        <f>HYPERLINK("https%3A%2F%2Fwww.webofscience.com%2Fwos%2Fwoscc%2Ffull-record%2FWOS:000169318000002","View Full Record in Web of Science")</f>
        <v>View Full Record in Web of Science</v>
      </c>
    </row>
    <row r="446" spans="1:72" x14ac:dyDescent="0.15">
      <c r="A446" t="s">
        <v>72</v>
      </c>
      <c r="B446" t="s">
        <v>6241</v>
      </c>
      <c r="C446" t="s">
        <v>74</v>
      </c>
      <c r="D446" t="s">
        <v>74</v>
      </c>
      <c r="E446" t="s">
        <v>74</v>
      </c>
      <c r="F446" t="s">
        <v>6241</v>
      </c>
      <c r="G446" t="s">
        <v>74</v>
      </c>
      <c r="H446" t="s">
        <v>74</v>
      </c>
      <c r="I446" t="s">
        <v>6242</v>
      </c>
      <c r="J446" t="s">
        <v>2652</v>
      </c>
      <c r="K446" t="s">
        <v>74</v>
      </c>
      <c r="L446" t="s">
        <v>74</v>
      </c>
      <c r="M446" t="s">
        <v>77</v>
      </c>
      <c r="N446" t="s">
        <v>120</v>
      </c>
      <c r="O446" t="s">
        <v>74</v>
      </c>
      <c r="P446" t="s">
        <v>74</v>
      </c>
      <c r="Q446" t="s">
        <v>74</v>
      </c>
      <c r="R446" t="s">
        <v>74</v>
      </c>
      <c r="S446" t="s">
        <v>74</v>
      </c>
      <c r="T446" t="s">
        <v>6243</v>
      </c>
      <c r="U446" t="s">
        <v>6244</v>
      </c>
      <c r="V446" t="s">
        <v>6245</v>
      </c>
      <c r="W446" t="s">
        <v>6246</v>
      </c>
      <c r="X446" t="s">
        <v>6247</v>
      </c>
      <c r="Y446" t="s">
        <v>6248</v>
      </c>
      <c r="Z446" t="s">
        <v>74</v>
      </c>
      <c r="AA446" t="s">
        <v>74</v>
      </c>
      <c r="AB446" t="s">
        <v>74</v>
      </c>
      <c r="AC446" t="s">
        <v>74</v>
      </c>
      <c r="AD446" t="s">
        <v>74</v>
      </c>
      <c r="AE446" t="s">
        <v>74</v>
      </c>
      <c r="AF446" t="s">
        <v>74</v>
      </c>
      <c r="AG446">
        <v>53</v>
      </c>
      <c r="AH446">
        <v>46</v>
      </c>
      <c r="AI446">
        <v>52</v>
      </c>
      <c r="AJ446">
        <v>0</v>
      </c>
      <c r="AK446">
        <v>19</v>
      </c>
      <c r="AL446" t="s">
        <v>2660</v>
      </c>
      <c r="AM446" t="s">
        <v>994</v>
      </c>
      <c r="AN446" t="s">
        <v>2661</v>
      </c>
      <c r="AO446" t="s">
        <v>2662</v>
      </c>
      <c r="AP446" t="s">
        <v>74</v>
      </c>
      <c r="AQ446" t="s">
        <v>74</v>
      </c>
      <c r="AR446" t="s">
        <v>2663</v>
      </c>
      <c r="AS446" t="s">
        <v>2664</v>
      </c>
      <c r="AT446" t="s">
        <v>5712</v>
      </c>
      <c r="AU446">
        <v>2001</v>
      </c>
      <c r="AV446">
        <v>17</v>
      </c>
      <c r="AW446">
        <v>3</v>
      </c>
      <c r="AX446" t="s">
        <v>74</v>
      </c>
      <c r="AY446" t="s">
        <v>74</v>
      </c>
      <c r="AZ446" t="s">
        <v>74</v>
      </c>
      <c r="BA446" t="s">
        <v>74</v>
      </c>
      <c r="BB446">
        <v>585</v>
      </c>
      <c r="BC446">
        <v>600</v>
      </c>
      <c r="BD446" t="s">
        <v>74</v>
      </c>
      <c r="BE446" t="s">
        <v>6249</v>
      </c>
      <c r="BF446" t="str">
        <f>HYPERLINK("http://dx.doi.org/10.1111/j.1748-7692.2001.tb01006.x","http://dx.doi.org/10.1111/j.1748-7692.2001.tb01006.x")</f>
        <v>http://dx.doi.org/10.1111/j.1748-7692.2001.tb01006.x</v>
      </c>
      <c r="BG446" t="s">
        <v>74</v>
      </c>
      <c r="BH446" t="s">
        <v>74</v>
      </c>
      <c r="BI446">
        <v>16</v>
      </c>
      <c r="BJ446" t="s">
        <v>2666</v>
      </c>
      <c r="BK446" t="s">
        <v>88</v>
      </c>
      <c r="BL446" t="s">
        <v>2666</v>
      </c>
      <c r="BM446" t="s">
        <v>6239</v>
      </c>
      <c r="BN446" t="s">
        <v>74</v>
      </c>
      <c r="BO446" t="s">
        <v>74</v>
      </c>
      <c r="BP446" t="s">
        <v>74</v>
      </c>
      <c r="BQ446" t="s">
        <v>74</v>
      </c>
      <c r="BR446" t="s">
        <v>91</v>
      </c>
      <c r="BS446" t="s">
        <v>6250</v>
      </c>
      <c r="BT446" t="str">
        <f>HYPERLINK("https%3A%2F%2Fwww.webofscience.com%2Fwos%2Fwoscc%2Ffull-record%2FWOS:000169318000009","View Full Record in Web of Science")</f>
        <v>View Full Record in Web of Science</v>
      </c>
    </row>
    <row r="447" spans="1:72" x14ac:dyDescent="0.15">
      <c r="A447" t="s">
        <v>72</v>
      </c>
      <c r="B447" t="s">
        <v>6251</v>
      </c>
      <c r="C447" t="s">
        <v>74</v>
      </c>
      <c r="D447" t="s">
        <v>74</v>
      </c>
      <c r="E447" t="s">
        <v>74</v>
      </c>
      <c r="F447" t="s">
        <v>6251</v>
      </c>
      <c r="G447" t="s">
        <v>74</v>
      </c>
      <c r="H447" t="s">
        <v>74</v>
      </c>
      <c r="I447" t="s">
        <v>6252</v>
      </c>
      <c r="J447" t="s">
        <v>76</v>
      </c>
      <c r="K447" t="s">
        <v>74</v>
      </c>
      <c r="L447" t="s">
        <v>74</v>
      </c>
      <c r="M447" t="s">
        <v>77</v>
      </c>
      <c r="N447" t="s">
        <v>120</v>
      </c>
      <c r="O447" t="s">
        <v>74</v>
      </c>
      <c r="P447" t="s">
        <v>74</v>
      </c>
      <c r="Q447" t="s">
        <v>74</v>
      </c>
      <c r="R447" t="s">
        <v>74</v>
      </c>
      <c r="S447" t="s">
        <v>74</v>
      </c>
      <c r="T447" t="s">
        <v>6253</v>
      </c>
      <c r="U447" t="s">
        <v>6254</v>
      </c>
      <c r="V447" t="s">
        <v>6255</v>
      </c>
      <c r="W447" t="s">
        <v>6256</v>
      </c>
      <c r="X447" t="s">
        <v>6257</v>
      </c>
      <c r="Y447" t="s">
        <v>74</v>
      </c>
      <c r="Z447" t="s">
        <v>6258</v>
      </c>
      <c r="AA447" t="s">
        <v>6259</v>
      </c>
      <c r="AB447" t="s">
        <v>6260</v>
      </c>
      <c r="AC447" t="s">
        <v>74</v>
      </c>
      <c r="AD447" t="s">
        <v>74</v>
      </c>
      <c r="AE447" t="s">
        <v>74</v>
      </c>
      <c r="AF447" t="s">
        <v>74</v>
      </c>
      <c r="AG447">
        <v>22</v>
      </c>
      <c r="AH447">
        <v>65</v>
      </c>
      <c r="AI447">
        <v>69</v>
      </c>
      <c r="AJ447">
        <v>0</v>
      </c>
      <c r="AK447">
        <v>32</v>
      </c>
      <c r="AL447" t="s">
        <v>79</v>
      </c>
      <c r="AM447" t="s">
        <v>80</v>
      </c>
      <c r="AN447" t="s">
        <v>81</v>
      </c>
      <c r="AO447" t="s">
        <v>82</v>
      </c>
      <c r="AP447" t="s">
        <v>83</v>
      </c>
      <c r="AQ447" t="s">
        <v>74</v>
      </c>
      <c r="AR447" t="s">
        <v>84</v>
      </c>
      <c r="AS447" t="s">
        <v>85</v>
      </c>
      <c r="AT447" t="s">
        <v>5712</v>
      </c>
      <c r="AU447">
        <v>2001</v>
      </c>
      <c r="AV447">
        <v>42</v>
      </c>
      <c r="AW447">
        <v>7</v>
      </c>
      <c r="AX447" t="s">
        <v>74</v>
      </c>
      <c r="AY447" t="s">
        <v>74</v>
      </c>
      <c r="AZ447" t="s">
        <v>74</v>
      </c>
      <c r="BA447" t="s">
        <v>74</v>
      </c>
      <c r="BB447">
        <v>598</v>
      </c>
      <c r="BC447">
        <v>602</v>
      </c>
      <c r="BD447" t="s">
        <v>74</v>
      </c>
      <c r="BE447" t="s">
        <v>6261</v>
      </c>
      <c r="BF447" t="str">
        <f>HYPERLINK("http://dx.doi.org/10.1016/S0025-326X(00)00206-X","http://dx.doi.org/10.1016/S0025-326X(00)00206-X")</f>
        <v>http://dx.doi.org/10.1016/S0025-326X(00)00206-X</v>
      </c>
      <c r="BG447" t="s">
        <v>74</v>
      </c>
      <c r="BH447" t="s">
        <v>74</v>
      </c>
      <c r="BI447">
        <v>5</v>
      </c>
      <c r="BJ447" t="s">
        <v>87</v>
      </c>
      <c r="BK447" t="s">
        <v>88</v>
      </c>
      <c r="BL447" t="s">
        <v>89</v>
      </c>
      <c r="BM447" t="s">
        <v>6262</v>
      </c>
      <c r="BN447">
        <v>11488240</v>
      </c>
      <c r="BO447" t="s">
        <v>74</v>
      </c>
      <c r="BP447" t="s">
        <v>74</v>
      </c>
      <c r="BQ447" t="s">
        <v>74</v>
      </c>
      <c r="BR447" t="s">
        <v>91</v>
      </c>
      <c r="BS447" t="s">
        <v>6263</v>
      </c>
      <c r="BT447" t="str">
        <f>HYPERLINK("https%3A%2F%2Fwww.webofscience.com%2Fwos%2Fwoscc%2Ffull-record%2FWOS:000170150300020","View Full Record in Web of Science")</f>
        <v>View Full Record in Web of Science</v>
      </c>
    </row>
    <row r="448" spans="1:72" x14ac:dyDescent="0.15">
      <c r="A448" t="s">
        <v>72</v>
      </c>
      <c r="B448" t="s">
        <v>6264</v>
      </c>
      <c r="C448" t="s">
        <v>74</v>
      </c>
      <c r="D448" t="s">
        <v>74</v>
      </c>
      <c r="E448" t="s">
        <v>74</v>
      </c>
      <c r="F448" t="s">
        <v>6264</v>
      </c>
      <c r="G448" t="s">
        <v>74</v>
      </c>
      <c r="H448" t="s">
        <v>74</v>
      </c>
      <c r="I448" t="s">
        <v>6265</v>
      </c>
      <c r="J448" t="s">
        <v>1523</v>
      </c>
      <c r="K448" t="s">
        <v>74</v>
      </c>
      <c r="L448" t="s">
        <v>74</v>
      </c>
      <c r="M448" t="s">
        <v>77</v>
      </c>
      <c r="N448" t="s">
        <v>120</v>
      </c>
      <c r="O448" t="s">
        <v>74</v>
      </c>
      <c r="P448" t="s">
        <v>74</v>
      </c>
      <c r="Q448" t="s">
        <v>74</v>
      </c>
      <c r="R448" t="s">
        <v>74</v>
      </c>
      <c r="S448" t="s">
        <v>74</v>
      </c>
      <c r="T448" t="s">
        <v>6266</v>
      </c>
      <c r="U448" t="s">
        <v>6267</v>
      </c>
      <c r="V448" t="s">
        <v>6268</v>
      </c>
      <c r="W448" t="s">
        <v>6269</v>
      </c>
      <c r="X448" t="s">
        <v>6270</v>
      </c>
      <c r="Y448" t="s">
        <v>6271</v>
      </c>
      <c r="Z448" t="s">
        <v>74</v>
      </c>
      <c r="AA448" t="s">
        <v>6272</v>
      </c>
      <c r="AB448" t="s">
        <v>6273</v>
      </c>
      <c r="AC448" t="s">
        <v>74</v>
      </c>
      <c r="AD448" t="s">
        <v>74</v>
      </c>
      <c r="AE448" t="s">
        <v>74</v>
      </c>
      <c r="AF448" t="s">
        <v>74</v>
      </c>
      <c r="AG448">
        <v>54</v>
      </c>
      <c r="AH448">
        <v>69</v>
      </c>
      <c r="AI448">
        <v>74</v>
      </c>
      <c r="AJ448">
        <v>1</v>
      </c>
      <c r="AK448">
        <v>49</v>
      </c>
      <c r="AL448" t="s">
        <v>1080</v>
      </c>
      <c r="AM448" t="s">
        <v>80</v>
      </c>
      <c r="AN448" t="s">
        <v>1081</v>
      </c>
      <c r="AO448" t="s">
        <v>1530</v>
      </c>
      <c r="AP448" t="s">
        <v>74</v>
      </c>
      <c r="AQ448" t="s">
        <v>74</v>
      </c>
      <c r="AR448" t="s">
        <v>1531</v>
      </c>
      <c r="AS448" t="s">
        <v>1532</v>
      </c>
      <c r="AT448" t="s">
        <v>5712</v>
      </c>
      <c r="AU448">
        <v>2001</v>
      </c>
      <c r="AV448">
        <v>10</v>
      </c>
      <c r="AW448">
        <v>7</v>
      </c>
      <c r="AX448" t="s">
        <v>74</v>
      </c>
      <c r="AY448" t="s">
        <v>74</v>
      </c>
      <c r="AZ448" t="s">
        <v>74</v>
      </c>
      <c r="BA448" t="s">
        <v>74</v>
      </c>
      <c r="BB448">
        <v>1645</v>
      </c>
      <c r="BC448">
        <v>1656</v>
      </c>
      <c r="BD448" t="s">
        <v>74</v>
      </c>
      <c r="BE448" t="s">
        <v>6274</v>
      </c>
      <c r="BF448" t="str">
        <f>HYPERLINK("http://dx.doi.org/10.1046/j.0962-1083.2001.01312.x","http://dx.doi.org/10.1046/j.0962-1083.2001.01312.x")</f>
        <v>http://dx.doi.org/10.1046/j.0962-1083.2001.01312.x</v>
      </c>
      <c r="BG448" t="s">
        <v>74</v>
      </c>
      <c r="BH448" t="s">
        <v>74</v>
      </c>
      <c r="BI448">
        <v>12</v>
      </c>
      <c r="BJ448" t="s">
        <v>1534</v>
      </c>
      <c r="BK448" t="s">
        <v>88</v>
      </c>
      <c r="BL448" t="s">
        <v>1535</v>
      </c>
      <c r="BM448" t="s">
        <v>6275</v>
      </c>
      <c r="BN448">
        <v>11472533</v>
      </c>
      <c r="BO448" t="s">
        <v>74</v>
      </c>
      <c r="BP448" t="s">
        <v>74</v>
      </c>
      <c r="BQ448" t="s">
        <v>74</v>
      </c>
      <c r="BR448" t="s">
        <v>91</v>
      </c>
      <c r="BS448" t="s">
        <v>6276</v>
      </c>
      <c r="BT448" t="str">
        <f>HYPERLINK("https%3A%2F%2Fwww.webofscience.com%2Fwos%2Fwoscc%2Ffull-record%2FWOS:000170006100005","View Full Record in Web of Science")</f>
        <v>View Full Record in Web of Science</v>
      </c>
    </row>
    <row r="449" spans="1:72" x14ac:dyDescent="0.15">
      <c r="A449" t="s">
        <v>72</v>
      </c>
      <c r="B449" t="s">
        <v>6277</v>
      </c>
      <c r="C449" t="s">
        <v>74</v>
      </c>
      <c r="D449" t="s">
        <v>74</v>
      </c>
      <c r="E449" t="s">
        <v>74</v>
      </c>
      <c r="F449" t="s">
        <v>6277</v>
      </c>
      <c r="G449" t="s">
        <v>74</v>
      </c>
      <c r="H449" t="s">
        <v>74</v>
      </c>
      <c r="I449" t="s">
        <v>6278</v>
      </c>
      <c r="J449" t="s">
        <v>6279</v>
      </c>
      <c r="K449" t="s">
        <v>74</v>
      </c>
      <c r="L449" t="s">
        <v>74</v>
      </c>
      <c r="M449" t="s">
        <v>77</v>
      </c>
      <c r="N449" t="s">
        <v>120</v>
      </c>
      <c r="O449" t="s">
        <v>74</v>
      </c>
      <c r="P449" t="s">
        <v>74</v>
      </c>
      <c r="Q449" t="s">
        <v>74</v>
      </c>
      <c r="R449" t="s">
        <v>74</v>
      </c>
      <c r="S449" t="s">
        <v>74</v>
      </c>
      <c r="T449" t="s">
        <v>6280</v>
      </c>
      <c r="U449" t="s">
        <v>6281</v>
      </c>
      <c r="V449" t="s">
        <v>6282</v>
      </c>
      <c r="W449" t="s">
        <v>6283</v>
      </c>
      <c r="X449" t="s">
        <v>6284</v>
      </c>
      <c r="Y449" t="s">
        <v>6285</v>
      </c>
      <c r="Z449" t="s">
        <v>6286</v>
      </c>
      <c r="AA449" t="s">
        <v>74</v>
      </c>
      <c r="AB449" t="s">
        <v>74</v>
      </c>
      <c r="AC449" t="s">
        <v>74</v>
      </c>
      <c r="AD449" t="s">
        <v>74</v>
      </c>
      <c r="AE449" t="s">
        <v>74</v>
      </c>
      <c r="AF449" t="s">
        <v>74</v>
      </c>
      <c r="AG449">
        <v>30</v>
      </c>
      <c r="AH449">
        <v>14</v>
      </c>
      <c r="AI449">
        <v>14</v>
      </c>
      <c r="AJ449">
        <v>0</v>
      </c>
      <c r="AK449">
        <v>0</v>
      </c>
      <c r="AL449" t="s">
        <v>273</v>
      </c>
      <c r="AM449" t="s">
        <v>80</v>
      </c>
      <c r="AN449" t="s">
        <v>274</v>
      </c>
      <c r="AO449" t="s">
        <v>6287</v>
      </c>
      <c r="AP449" t="s">
        <v>6288</v>
      </c>
      <c r="AQ449" t="s">
        <v>74</v>
      </c>
      <c r="AR449" t="s">
        <v>6289</v>
      </c>
      <c r="AS449" t="s">
        <v>6290</v>
      </c>
      <c r="AT449" t="s">
        <v>5984</v>
      </c>
      <c r="AU449">
        <v>2001</v>
      </c>
      <c r="AV449">
        <v>324</v>
      </c>
      <c r="AW449">
        <v>3</v>
      </c>
      <c r="AX449" t="s">
        <v>74</v>
      </c>
      <c r="AY449" t="s">
        <v>74</v>
      </c>
      <c r="AZ449" t="s">
        <v>74</v>
      </c>
      <c r="BA449" t="s">
        <v>74</v>
      </c>
      <c r="BB449">
        <v>712</v>
      </c>
      <c r="BC449">
        <v>716</v>
      </c>
      <c r="BD449" t="s">
        <v>74</v>
      </c>
      <c r="BE449" t="s">
        <v>6291</v>
      </c>
      <c r="BF449" t="str">
        <f>HYPERLINK("http://dx.doi.org/10.1046/j.1365-8711.2001.04372.x","http://dx.doi.org/10.1046/j.1365-8711.2001.04372.x")</f>
        <v>http://dx.doi.org/10.1046/j.1365-8711.2001.04372.x</v>
      </c>
      <c r="BG449" t="s">
        <v>74</v>
      </c>
      <c r="BH449" t="s">
        <v>74</v>
      </c>
      <c r="BI449">
        <v>5</v>
      </c>
      <c r="BJ449" t="s">
        <v>1139</v>
      </c>
      <c r="BK449" t="s">
        <v>88</v>
      </c>
      <c r="BL449" t="s">
        <v>1139</v>
      </c>
      <c r="BM449" t="s">
        <v>6292</v>
      </c>
      <c r="BN449" t="s">
        <v>74</v>
      </c>
      <c r="BO449" t="s">
        <v>171</v>
      </c>
      <c r="BP449" t="s">
        <v>74</v>
      </c>
      <c r="BQ449" t="s">
        <v>74</v>
      </c>
      <c r="BR449" t="s">
        <v>91</v>
      </c>
      <c r="BS449" t="s">
        <v>6293</v>
      </c>
      <c r="BT449" t="str">
        <f>HYPERLINK("https%3A%2F%2Fwww.webofscience.com%2Fwos%2Fwoscc%2Ffull-record%2FWOS:000169890700021","View Full Record in Web of Science")</f>
        <v>View Full Record in Web of Science</v>
      </c>
    </row>
    <row r="450" spans="1:72" x14ac:dyDescent="0.15">
      <c r="A450" t="s">
        <v>72</v>
      </c>
      <c r="B450" t="s">
        <v>6294</v>
      </c>
      <c r="C450" t="s">
        <v>74</v>
      </c>
      <c r="D450" t="s">
        <v>74</v>
      </c>
      <c r="E450" t="s">
        <v>74</v>
      </c>
      <c r="F450" t="s">
        <v>6294</v>
      </c>
      <c r="G450" t="s">
        <v>74</v>
      </c>
      <c r="H450" t="s">
        <v>74</v>
      </c>
      <c r="I450" t="s">
        <v>6295</v>
      </c>
      <c r="J450" t="s">
        <v>6296</v>
      </c>
      <c r="K450" t="s">
        <v>74</v>
      </c>
      <c r="L450" t="s">
        <v>74</v>
      </c>
      <c r="M450" t="s">
        <v>77</v>
      </c>
      <c r="N450" t="s">
        <v>120</v>
      </c>
      <c r="O450" t="s">
        <v>74</v>
      </c>
      <c r="P450" t="s">
        <v>74</v>
      </c>
      <c r="Q450" t="s">
        <v>74</v>
      </c>
      <c r="R450" t="s">
        <v>74</v>
      </c>
      <c r="S450" t="s">
        <v>74</v>
      </c>
      <c r="T450" t="s">
        <v>6297</v>
      </c>
      <c r="U450" t="s">
        <v>74</v>
      </c>
      <c r="V450" t="s">
        <v>6298</v>
      </c>
      <c r="W450" t="s">
        <v>6299</v>
      </c>
      <c r="X450" t="s">
        <v>6300</v>
      </c>
      <c r="Y450" t="s">
        <v>6301</v>
      </c>
      <c r="Z450" t="s">
        <v>74</v>
      </c>
      <c r="AA450" t="s">
        <v>6302</v>
      </c>
      <c r="AB450" t="s">
        <v>6303</v>
      </c>
      <c r="AC450" t="s">
        <v>74</v>
      </c>
      <c r="AD450" t="s">
        <v>74</v>
      </c>
      <c r="AE450" t="s">
        <v>74</v>
      </c>
      <c r="AF450" t="s">
        <v>74</v>
      </c>
      <c r="AG450">
        <v>12</v>
      </c>
      <c r="AH450">
        <v>4</v>
      </c>
      <c r="AI450">
        <v>8</v>
      </c>
      <c r="AJ450">
        <v>0</v>
      </c>
      <c r="AK450">
        <v>2</v>
      </c>
      <c r="AL450" t="s">
        <v>6304</v>
      </c>
      <c r="AM450" t="s">
        <v>6305</v>
      </c>
      <c r="AN450" t="s">
        <v>6306</v>
      </c>
      <c r="AO450" t="s">
        <v>6307</v>
      </c>
      <c r="AP450" t="s">
        <v>74</v>
      </c>
      <c r="AQ450" t="s">
        <v>74</v>
      </c>
      <c r="AR450" t="s">
        <v>6296</v>
      </c>
      <c r="AS450" t="s">
        <v>6308</v>
      </c>
      <c r="AT450" t="s">
        <v>6309</v>
      </c>
      <c r="AU450">
        <v>2001</v>
      </c>
      <c r="AV450">
        <v>79</v>
      </c>
      <c r="AW450" t="s">
        <v>74</v>
      </c>
      <c r="AX450" t="s">
        <v>74</v>
      </c>
      <c r="AY450" t="s">
        <v>74</v>
      </c>
      <c r="AZ450" t="s">
        <v>74</v>
      </c>
      <c r="BA450" t="s">
        <v>74</v>
      </c>
      <c r="BB450">
        <v>433</v>
      </c>
      <c r="BC450">
        <v>446</v>
      </c>
      <c r="BD450" t="s">
        <v>74</v>
      </c>
      <c r="BE450" t="s">
        <v>74</v>
      </c>
      <c r="BF450" t="s">
        <v>74</v>
      </c>
      <c r="BG450" t="s">
        <v>74</v>
      </c>
      <c r="BH450" t="s">
        <v>74</v>
      </c>
      <c r="BI450">
        <v>14</v>
      </c>
      <c r="BJ450" t="s">
        <v>6310</v>
      </c>
      <c r="BK450" t="s">
        <v>88</v>
      </c>
      <c r="BL450" t="s">
        <v>6310</v>
      </c>
      <c r="BM450" t="s">
        <v>6311</v>
      </c>
      <c r="BN450" t="s">
        <v>74</v>
      </c>
      <c r="BO450" t="s">
        <v>74</v>
      </c>
      <c r="BP450" t="s">
        <v>74</v>
      </c>
      <c r="BQ450" t="s">
        <v>74</v>
      </c>
      <c r="BR450" t="s">
        <v>91</v>
      </c>
      <c r="BS450" t="s">
        <v>6312</v>
      </c>
      <c r="BT450" t="str">
        <f>HYPERLINK("https%3A%2F%2Fwww.webofscience.com%2Fwos%2Fwoscc%2Ffull-record%2FWOS:000171617200039","View Full Record in Web of Science")</f>
        <v>View Full Record in Web of Science</v>
      </c>
    </row>
    <row r="451" spans="1:72" x14ac:dyDescent="0.15">
      <c r="A451" t="s">
        <v>72</v>
      </c>
      <c r="B451" t="s">
        <v>6313</v>
      </c>
      <c r="C451" t="s">
        <v>74</v>
      </c>
      <c r="D451" t="s">
        <v>74</v>
      </c>
      <c r="E451" t="s">
        <v>74</v>
      </c>
      <c r="F451" t="s">
        <v>6313</v>
      </c>
      <c r="G451" t="s">
        <v>74</v>
      </c>
      <c r="H451" t="s">
        <v>74</v>
      </c>
      <c r="I451" t="s">
        <v>6314</v>
      </c>
      <c r="J451" t="s">
        <v>194</v>
      </c>
      <c r="K451" t="s">
        <v>74</v>
      </c>
      <c r="L451" t="s">
        <v>74</v>
      </c>
      <c r="M451" t="s">
        <v>77</v>
      </c>
      <c r="N451" t="s">
        <v>96</v>
      </c>
      <c r="O451" t="s">
        <v>74</v>
      </c>
      <c r="P451" t="s">
        <v>74</v>
      </c>
      <c r="Q451" t="s">
        <v>74</v>
      </c>
      <c r="R451" t="s">
        <v>74</v>
      </c>
      <c r="S451" t="s">
        <v>74</v>
      </c>
      <c r="T451" t="s">
        <v>74</v>
      </c>
      <c r="U451" t="s">
        <v>6315</v>
      </c>
      <c r="V451" t="s">
        <v>6316</v>
      </c>
      <c r="W451" t="s">
        <v>6317</v>
      </c>
      <c r="X451" t="s">
        <v>6318</v>
      </c>
      <c r="Y451" t="s">
        <v>6319</v>
      </c>
      <c r="Z451" t="s">
        <v>6320</v>
      </c>
      <c r="AA451" t="s">
        <v>6321</v>
      </c>
      <c r="AB451" t="s">
        <v>6322</v>
      </c>
      <c r="AC451" t="s">
        <v>74</v>
      </c>
      <c r="AD451" t="s">
        <v>74</v>
      </c>
      <c r="AE451" t="s">
        <v>74</v>
      </c>
      <c r="AF451" t="s">
        <v>74</v>
      </c>
      <c r="AG451">
        <v>110</v>
      </c>
      <c r="AH451">
        <v>98</v>
      </c>
      <c r="AI451">
        <v>102</v>
      </c>
      <c r="AJ451">
        <v>0</v>
      </c>
      <c r="AK451">
        <v>24</v>
      </c>
      <c r="AL451" t="s">
        <v>248</v>
      </c>
      <c r="AM451" t="s">
        <v>204</v>
      </c>
      <c r="AN451" t="s">
        <v>249</v>
      </c>
      <c r="AO451" t="s">
        <v>206</v>
      </c>
      <c r="AP451" t="s">
        <v>250</v>
      </c>
      <c r="AQ451" t="s">
        <v>74</v>
      </c>
      <c r="AR451" t="s">
        <v>207</v>
      </c>
      <c r="AS451" t="s">
        <v>208</v>
      </c>
      <c r="AT451" t="s">
        <v>5712</v>
      </c>
      <c r="AU451">
        <v>2001</v>
      </c>
      <c r="AV451">
        <v>24</v>
      </c>
      <c r="AW451">
        <v>7</v>
      </c>
      <c r="AX451" t="s">
        <v>74</v>
      </c>
      <c r="AY451" t="s">
        <v>74</v>
      </c>
      <c r="AZ451" t="s">
        <v>74</v>
      </c>
      <c r="BA451" t="s">
        <v>74</v>
      </c>
      <c r="BB451">
        <v>473</v>
      </c>
      <c r="BC451">
        <v>485</v>
      </c>
      <c r="BD451" t="s">
        <v>74</v>
      </c>
      <c r="BE451" t="s">
        <v>6323</v>
      </c>
      <c r="BF451" t="str">
        <f>HYPERLINK("http://dx.doi.org/10.1007/s003000100257","http://dx.doi.org/10.1007/s003000100257")</f>
        <v>http://dx.doi.org/10.1007/s003000100257</v>
      </c>
      <c r="BG451" t="s">
        <v>74</v>
      </c>
      <c r="BH451" t="s">
        <v>74</v>
      </c>
      <c r="BI451">
        <v>13</v>
      </c>
      <c r="BJ451" t="s">
        <v>209</v>
      </c>
      <c r="BK451" t="s">
        <v>88</v>
      </c>
      <c r="BL451" t="s">
        <v>210</v>
      </c>
      <c r="BM451" t="s">
        <v>6324</v>
      </c>
      <c r="BN451" t="s">
        <v>74</v>
      </c>
      <c r="BO451" t="s">
        <v>74</v>
      </c>
      <c r="BP451" t="s">
        <v>74</v>
      </c>
      <c r="BQ451" t="s">
        <v>74</v>
      </c>
      <c r="BR451" t="s">
        <v>91</v>
      </c>
      <c r="BS451" t="s">
        <v>6325</v>
      </c>
      <c r="BT451" t="str">
        <f>HYPERLINK("https%3A%2F%2Fwww.webofscience.com%2Fwos%2Fwoscc%2Ffull-record%2FWOS:000170122100001","View Full Record in Web of Science")</f>
        <v>View Full Record in Web of Science</v>
      </c>
    </row>
    <row r="452" spans="1:72" x14ac:dyDescent="0.15">
      <c r="A452" t="s">
        <v>72</v>
      </c>
      <c r="B452" t="s">
        <v>6326</v>
      </c>
      <c r="C452" t="s">
        <v>74</v>
      </c>
      <c r="D452" t="s">
        <v>74</v>
      </c>
      <c r="E452" t="s">
        <v>74</v>
      </c>
      <c r="F452" t="s">
        <v>6326</v>
      </c>
      <c r="G452" t="s">
        <v>74</v>
      </c>
      <c r="H452" t="s">
        <v>74</v>
      </c>
      <c r="I452" t="s">
        <v>6327</v>
      </c>
      <c r="J452" t="s">
        <v>194</v>
      </c>
      <c r="K452" t="s">
        <v>74</v>
      </c>
      <c r="L452" t="s">
        <v>74</v>
      </c>
      <c r="M452" t="s">
        <v>77</v>
      </c>
      <c r="N452" t="s">
        <v>120</v>
      </c>
      <c r="O452" t="s">
        <v>74</v>
      </c>
      <c r="P452" t="s">
        <v>74</v>
      </c>
      <c r="Q452" t="s">
        <v>74</v>
      </c>
      <c r="R452" t="s">
        <v>74</v>
      </c>
      <c r="S452" t="s">
        <v>74</v>
      </c>
      <c r="T452" t="s">
        <v>74</v>
      </c>
      <c r="U452" t="s">
        <v>6328</v>
      </c>
      <c r="V452" t="s">
        <v>6329</v>
      </c>
      <c r="W452" t="s">
        <v>6330</v>
      </c>
      <c r="X452" t="s">
        <v>6331</v>
      </c>
      <c r="Y452" t="s">
        <v>6332</v>
      </c>
      <c r="Z452" t="s">
        <v>74</v>
      </c>
      <c r="AA452" t="s">
        <v>74</v>
      </c>
      <c r="AB452" t="s">
        <v>6333</v>
      </c>
      <c r="AC452" t="s">
        <v>74</v>
      </c>
      <c r="AD452" t="s">
        <v>74</v>
      </c>
      <c r="AE452" t="s">
        <v>74</v>
      </c>
      <c r="AF452" t="s">
        <v>74</v>
      </c>
      <c r="AG452">
        <v>30</v>
      </c>
      <c r="AH452">
        <v>44</v>
      </c>
      <c r="AI452">
        <v>44</v>
      </c>
      <c r="AJ452">
        <v>0</v>
      </c>
      <c r="AK452">
        <v>11</v>
      </c>
      <c r="AL452" t="s">
        <v>203</v>
      </c>
      <c r="AM452" t="s">
        <v>204</v>
      </c>
      <c r="AN452" t="s">
        <v>205</v>
      </c>
      <c r="AO452" t="s">
        <v>206</v>
      </c>
      <c r="AP452" t="s">
        <v>74</v>
      </c>
      <c r="AQ452" t="s">
        <v>74</v>
      </c>
      <c r="AR452" t="s">
        <v>207</v>
      </c>
      <c r="AS452" t="s">
        <v>208</v>
      </c>
      <c r="AT452" t="s">
        <v>5712</v>
      </c>
      <c r="AU452">
        <v>2001</v>
      </c>
      <c r="AV452">
        <v>24</v>
      </c>
      <c r="AW452">
        <v>7</v>
      </c>
      <c r="AX452" t="s">
        <v>74</v>
      </c>
      <c r="AY452" t="s">
        <v>74</v>
      </c>
      <c r="AZ452" t="s">
        <v>74</v>
      </c>
      <c r="BA452" t="s">
        <v>74</v>
      </c>
      <c r="BB452">
        <v>497</v>
      </c>
      <c r="BC452">
        <v>501</v>
      </c>
      <c r="BD452" t="s">
        <v>74</v>
      </c>
      <c r="BE452" t="s">
        <v>6334</v>
      </c>
      <c r="BF452" t="str">
        <f>HYPERLINK("http://dx.doi.org/10.1007/s003000100245","http://dx.doi.org/10.1007/s003000100245")</f>
        <v>http://dx.doi.org/10.1007/s003000100245</v>
      </c>
      <c r="BG452" t="s">
        <v>74</v>
      </c>
      <c r="BH452" t="s">
        <v>74</v>
      </c>
      <c r="BI452">
        <v>5</v>
      </c>
      <c r="BJ452" t="s">
        <v>209</v>
      </c>
      <c r="BK452" t="s">
        <v>88</v>
      </c>
      <c r="BL452" t="s">
        <v>210</v>
      </c>
      <c r="BM452" t="s">
        <v>6324</v>
      </c>
      <c r="BN452" t="s">
        <v>74</v>
      </c>
      <c r="BO452" t="s">
        <v>74</v>
      </c>
      <c r="BP452" t="s">
        <v>74</v>
      </c>
      <c r="BQ452" t="s">
        <v>74</v>
      </c>
      <c r="BR452" t="s">
        <v>91</v>
      </c>
      <c r="BS452" t="s">
        <v>6335</v>
      </c>
      <c r="BT452" t="str">
        <f>HYPERLINK("https%3A%2F%2Fwww.webofscience.com%2Fwos%2Fwoscc%2Ffull-record%2FWOS:000170122100003","View Full Record in Web of Science")</f>
        <v>View Full Record in Web of Science</v>
      </c>
    </row>
    <row r="453" spans="1:72" x14ac:dyDescent="0.15">
      <c r="A453" t="s">
        <v>72</v>
      </c>
      <c r="B453" t="s">
        <v>6336</v>
      </c>
      <c r="C453" t="s">
        <v>74</v>
      </c>
      <c r="D453" t="s">
        <v>74</v>
      </c>
      <c r="E453" t="s">
        <v>74</v>
      </c>
      <c r="F453" t="s">
        <v>6336</v>
      </c>
      <c r="G453" t="s">
        <v>74</v>
      </c>
      <c r="H453" t="s">
        <v>74</v>
      </c>
      <c r="I453" t="s">
        <v>6337</v>
      </c>
      <c r="J453" t="s">
        <v>194</v>
      </c>
      <c r="K453" t="s">
        <v>74</v>
      </c>
      <c r="L453" t="s">
        <v>74</v>
      </c>
      <c r="M453" t="s">
        <v>77</v>
      </c>
      <c r="N453" t="s">
        <v>120</v>
      </c>
      <c r="O453" t="s">
        <v>74</v>
      </c>
      <c r="P453" t="s">
        <v>74</v>
      </c>
      <c r="Q453" t="s">
        <v>74</v>
      </c>
      <c r="R453" t="s">
        <v>74</v>
      </c>
      <c r="S453" t="s">
        <v>74</v>
      </c>
      <c r="T453" t="s">
        <v>74</v>
      </c>
      <c r="U453" t="s">
        <v>6338</v>
      </c>
      <c r="V453" t="s">
        <v>6339</v>
      </c>
      <c r="W453" t="s">
        <v>2323</v>
      </c>
      <c r="X453" t="s">
        <v>1679</v>
      </c>
      <c r="Y453" t="s">
        <v>6340</v>
      </c>
      <c r="Z453" t="s">
        <v>74</v>
      </c>
      <c r="AA453" t="s">
        <v>6341</v>
      </c>
      <c r="AB453" t="s">
        <v>6342</v>
      </c>
      <c r="AC453" t="s">
        <v>74</v>
      </c>
      <c r="AD453" t="s">
        <v>74</v>
      </c>
      <c r="AE453" t="s">
        <v>74</v>
      </c>
      <c r="AF453" t="s">
        <v>74</v>
      </c>
      <c r="AG453">
        <v>18</v>
      </c>
      <c r="AH453">
        <v>34</v>
      </c>
      <c r="AI453">
        <v>36</v>
      </c>
      <c r="AJ453">
        <v>1</v>
      </c>
      <c r="AK453">
        <v>10</v>
      </c>
      <c r="AL453" t="s">
        <v>203</v>
      </c>
      <c r="AM453" t="s">
        <v>204</v>
      </c>
      <c r="AN453" t="s">
        <v>205</v>
      </c>
      <c r="AO453" t="s">
        <v>206</v>
      </c>
      <c r="AP453" t="s">
        <v>74</v>
      </c>
      <c r="AQ453" t="s">
        <v>74</v>
      </c>
      <c r="AR453" t="s">
        <v>207</v>
      </c>
      <c r="AS453" t="s">
        <v>208</v>
      </c>
      <c r="AT453" t="s">
        <v>5712</v>
      </c>
      <c r="AU453">
        <v>2001</v>
      </c>
      <c r="AV453">
        <v>24</v>
      </c>
      <c r="AW453">
        <v>7</v>
      </c>
      <c r="AX453" t="s">
        <v>74</v>
      </c>
      <c r="AY453" t="s">
        <v>74</v>
      </c>
      <c r="AZ453" t="s">
        <v>74</v>
      </c>
      <c r="BA453" t="s">
        <v>74</v>
      </c>
      <c r="BB453">
        <v>502</v>
      </c>
      <c r="BC453">
        <v>507</v>
      </c>
      <c r="BD453" t="s">
        <v>74</v>
      </c>
      <c r="BE453" t="s">
        <v>74</v>
      </c>
      <c r="BF453" t="s">
        <v>74</v>
      </c>
      <c r="BG453" t="s">
        <v>74</v>
      </c>
      <c r="BH453" t="s">
        <v>74</v>
      </c>
      <c r="BI453">
        <v>6</v>
      </c>
      <c r="BJ453" t="s">
        <v>209</v>
      </c>
      <c r="BK453" t="s">
        <v>88</v>
      </c>
      <c r="BL453" t="s">
        <v>210</v>
      </c>
      <c r="BM453" t="s">
        <v>6324</v>
      </c>
      <c r="BN453" t="s">
        <v>74</v>
      </c>
      <c r="BO453" t="s">
        <v>74</v>
      </c>
      <c r="BP453" t="s">
        <v>74</v>
      </c>
      <c r="BQ453" t="s">
        <v>74</v>
      </c>
      <c r="BR453" t="s">
        <v>91</v>
      </c>
      <c r="BS453" t="s">
        <v>6343</v>
      </c>
      <c r="BT453" t="str">
        <f>HYPERLINK("https%3A%2F%2Fwww.webofscience.com%2Fwos%2Fwoscc%2Ffull-record%2FWOS:000170122100004","View Full Record in Web of Science")</f>
        <v>View Full Record in Web of Science</v>
      </c>
    </row>
    <row r="454" spans="1:72" x14ac:dyDescent="0.15">
      <c r="A454" t="s">
        <v>72</v>
      </c>
      <c r="B454" t="s">
        <v>6344</v>
      </c>
      <c r="C454" t="s">
        <v>74</v>
      </c>
      <c r="D454" t="s">
        <v>74</v>
      </c>
      <c r="E454" t="s">
        <v>74</v>
      </c>
      <c r="F454" t="s">
        <v>6344</v>
      </c>
      <c r="G454" t="s">
        <v>74</v>
      </c>
      <c r="H454" t="s">
        <v>74</v>
      </c>
      <c r="I454" t="s">
        <v>6345</v>
      </c>
      <c r="J454" t="s">
        <v>194</v>
      </c>
      <c r="K454" t="s">
        <v>74</v>
      </c>
      <c r="L454" t="s">
        <v>74</v>
      </c>
      <c r="M454" t="s">
        <v>77</v>
      </c>
      <c r="N454" t="s">
        <v>120</v>
      </c>
      <c r="O454" t="s">
        <v>74</v>
      </c>
      <c r="P454" t="s">
        <v>74</v>
      </c>
      <c r="Q454" t="s">
        <v>74</v>
      </c>
      <c r="R454" t="s">
        <v>74</v>
      </c>
      <c r="S454" t="s">
        <v>74</v>
      </c>
      <c r="T454" t="s">
        <v>74</v>
      </c>
      <c r="U454" t="s">
        <v>6346</v>
      </c>
      <c r="V454" t="s">
        <v>6347</v>
      </c>
      <c r="W454" t="s">
        <v>1103</v>
      </c>
      <c r="X454" t="s">
        <v>462</v>
      </c>
      <c r="Y454" t="s">
        <v>6348</v>
      </c>
      <c r="Z454" t="s">
        <v>74</v>
      </c>
      <c r="AA454" t="s">
        <v>74</v>
      </c>
      <c r="AB454" t="s">
        <v>74</v>
      </c>
      <c r="AC454" t="s">
        <v>74</v>
      </c>
      <c r="AD454" t="s">
        <v>74</v>
      </c>
      <c r="AE454" t="s">
        <v>74</v>
      </c>
      <c r="AF454" t="s">
        <v>74</v>
      </c>
      <c r="AG454">
        <v>40</v>
      </c>
      <c r="AH454">
        <v>57</v>
      </c>
      <c r="AI454">
        <v>60</v>
      </c>
      <c r="AJ454">
        <v>0</v>
      </c>
      <c r="AK454">
        <v>9</v>
      </c>
      <c r="AL454" t="s">
        <v>203</v>
      </c>
      <c r="AM454" t="s">
        <v>204</v>
      </c>
      <c r="AN454" t="s">
        <v>205</v>
      </c>
      <c r="AO454" t="s">
        <v>206</v>
      </c>
      <c r="AP454" t="s">
        <v>74</v>
      </c>
      <c r="AQ454" t="s">
        <v>74</v>
      </c>
      <c r="AR454" t="s">
        <v>207</v>
      </c>
      <c r="AS454" t="s">
        <v>208</v>
      </c>
      <c r="AT454" t="s">
        <v>5712</v>
      </c>
      <c r="AU454">
        <v>2001</v>
      </c>
      <c r="AV454">
        <v>24</v>
      </c>
      <c r="AW454">
        <v>7</v>
      </c>
      <c r="AX454" t="s">
        <v>74</v>
      </c>
      <c r="AY454" t="s">
        <v>74</v>
      </c>
      <c r="AZ454" t="s">
        <v>74</v>
      </c>
      <c r="BA454" t="s">
        <v>74</v>
      </c>
      <c r="BB454">
        <v>523</v>
      </c>
      <c r="BC454">
        <v>530</v>
      </c>
      <c r="BD454" t="s">
        <v>74</v>
      </c>
      <c r="BE454" t="s">
        <v>6349</v>
      </c>
      <c r="BF454" t="str">
        <f>HYPERLINK("http://dx.doi.org/10.1007/s003000100251","http://dx.doi.org/10.1007/s003000100251")</f>
        <v>http://dx.doi.org/10.1007/s003000100251</v>
      </c>
      <c r="BG454" t="s">
        <v>74</v>
      </c>
      <c r="BH454" t="s">
        <v>74</v>
      </c>
      <c r="BI454">
        <v>8</v>
      </c>
      <c r="BJ454" t="s">
        <v>209</v>
      </c>
      <c r="BK454" t="s">
        <v>88</v>
      </c>
      <c r="BL454" t="s">
        <v>210</v>
      </c>
      <c r="BM454" t="s">
        <v>6324</v>
      </c>
      <c r="BN454" t="s">
        <v>74</v>
      </c>
      <c r="BO454" t="s">
        <v>74</v>
      </c>
      <c r="BP454" t="s">
        <v>74</v>
      </c>
      <c r="BQ454" t="s">
        <v>74</v>
      </c>
      <c r="BR454" t="s">
        <v>91</v>
      </c>
      <c r="BS454" t="s">
        <v>6350</v>
      </c>
      <c r="BT454" t="str">
        <f>HYPERLINK("https%3A%2F%2Fwww.webofscience.com%2Fwos%2Fwoscc%2Ffull-record%2FWOS:000170122100007","View Full Record in Web of Science")</f>
        <v>View Full Record in Web of Science</v>
      </c>
    </row>
    <row r="455" spans="1:72" x14ac:dyDescent="0.15">
      <c r="A455" t="s">
        <v>72</v>
      </c>
      <c r="B455" t="s">
        <v>6351</v>
      </c>
      <c r="C455" t="s">
        <v>74</v>
      </c>
      <c r="D455" t="s">
        <v>74</v>
      </c>
      <c r="E455" t="s">
        <v>74</v>
      </c>
      <c r="F455" t="s">
        <v>6351</v>
      </c>
      <c r="G455" t="s">
        <v>74</v>
      </c>
      <c r="H455" t="s">
        <v>74</v>
      </c>
      <c r="I455" t="s">
        <v>6352</v>
      </c>
      <c r="J455" t="s">
        <v>194</v>
      </c>
      <c r="K455" t="s">
        <v>74</v>
      </c>
      <c r="L455" t="s">
        <v>74</v>
      </c>
      <c r="M455" t="s">
        <v>77</v>
      </c>
      <c r="N455" t="s">
        <v>120</v>
      </c>
      <c r="O455" t="s">
        <v>74</v>
      </c>
      <c r="P455" t="s">
        <v>74</v>
      </c>
      <c r="Q455" t="s">
        <v>74</v>
      </c>
      <c r="R455" t="s">
        <v>74</v>
      </c>
      <c r="S455" t="s">
        <v>74</v>
      </c>
      <c r="T455" t="s">
        <v>74</v>
      </c>
      <c r="U455" t="s">
        <v>6353</v>
      </c>
      <c r="V455" t="s">
        <v>6354</v>
      </c>
      <c r="W455" t="s">
        <v>6355</v>
      </c>
      <c r="X455" t="s">
        <v>6356</v>
      </c>
      <c r="Y455" t="s">
        <v>6357</v>
      </c>
      <c r="Z455" t="s">
        <v>74</v>
      </c>
      <c r="AA455" t="s">
        <v>74</v>
      </c>
      <c r="AB455" t="s">
        <v>74</v>
      </c>
      <c r="AC455" t="s">
        <v>74</v>
      </c>
      <c r="AD455" t="s">
        <v>74</v>
      </c>
      <c r="AE455" t="s">
        <v>74</v>
      </c>
      <c r="AF455" t="s">
        <v>74</v>
      </c>
      <c r="AG455">
        <v>14</v>
      </c>
      <c r="AH455">
        <v>11</v>
      </c>
      <c r="AI455">
        <v>15</v>
      </c>
      <c r="AJ455">
        <v>0</v>
      </c>
      <c r="AK455">
        <v>5</v>
      </c>
      <c r="AL455" t="s">
        <v>203</v>
      </c>
      <c r="AM455" t="s">
        <v>204</v>
      </c>
      <c r="AN455" t="s">
        <v>205</v>
      </c>
      <c r="AO455" t="s">
        <v>206</v>
      </c>
      <c r="AP455" t="s">
        <v>74</v>
      </c>
      <c r="AQ455" t="s">
        <v>74</v>
      </c>
      <c r="AR455" t="s">
        <v>207</v>
      </c>
      <c r="AS455" t="s">
        <v>208</v>
      </c>
      <c r="AT455" t="s">
        <v>5712</v>
      </c>
      <c r="AU455">
        <v>2001</v>
      </c>
      <c r="AV455">
        <v>24</v>
      </c>
      <c r="AW455">
        <v>7</v>
      </c>
      <c r="AX455" t="s">
        <v>74</v>
      </c>
      <c r="AY455" t="s">
        <v>74</v>
      </c>
      <c r="AZ455" t="s">
        <v>74</v>
      </c>
      <c r="BA455" t="s">
        <v>74</v>
      </c>
      <c r="BB455">
        <v>545</v>
      </c>
      <c r="BC455">
        <v>548</v>
      </c>
      <c r="BD455" t="s">
        <v>74</v>
      </c>
      <c r="BE455" t="s">
        <v>74</v>
      </c>
      <c r="BF455" t="s">
        <v>74</v>
      </c>
      <c r="BG455" t="s">
        <v>74</v>
      </c>
      <c r="BH455" t="s">
        <v>74</v>
      </c>
      <c r="BI455">
        <v>4</v>
      </c>
      <c r="BJ455" t="s">
        <v>209</v>
      </c>
      <c r="BK455" t="s">
        <v>88</v>
      </c>
      <c r="BL455" t="s">
        <v>210</v>
      </c>
      <c r="BM455" t="s">
        <v>6324</v>
      </c>
      <c r="BN455" t="s">
        <v>74</v>
      </c>
      <c r="BO455" t="s">
        <v>74</v>
      </c>
      <c r="BP455" t="s">
        <v>74</v>
      </c>
      <c r="BQ455" t="s">
        <v>74</v>
      </c>
      <c r="BR455" t="s">
        <v>91</v>
      </c>
      <c r="BS455" t="s">
        <v>6358</v>
      </c>
      <c r="BT455" t="str">
        <f>HYPERLINK("https%3A%2F%2Fwww.webofscience.com%2Fwos%2Fwoscc%2Ffull-record%2FWOS:000170122100010","View Full Record in Web of Science")</f>
        <v>View Full Record in Web of Science</v>
      </c>
    </row>
    <row r="456" spans="1:72" x14ac:dyDescent="0.15">
      <c r="A456" t="s">
        <v>72</v>
      </c>
      <c r="B456" t="s">
        <v>6359</v>
      </c>
      <c r="C456" t="s">
        <v>74</v>
      </c>
      <c r="D456" t="s">
        <v>74</v>
      </c>
      <c r="E456" t="s">
        <v>74</v>
      </c>
      <c r="F456" t="s">
        <v>6359</v>
      </c>
      <c r="G456" t="s">
        <v>74</v>
      </c>
      <c r="H456" t="s">
        <v>74</v>
      </c>
      <c r="I456" t="s">
        <v>6360</v>
      </c>
      <c r="J456" t="s">
        <v>6361</v>
      </c>
      <c r="K456" t="s">
        <v>74</v>
      </c>
      <c r="L456" t="s">
        <v>74</v>
      </c>
      <c r="M456" t="s">
        <v>77</v>
      </c>
      <c r="N456" t="s">
        <v>120</v>
      </c>
      <c r="O456" t="s">
        <v>74</v>
      </c>
      <c r="P456" t="s">
        <v>74</v>
      </c>
      <c r="Q456" t="s">
        <v>74</v>
      </c>
      <c r="R456" t="s">
        <v>74</v>
      </c>
      <c r="S456" t="s">
        <v>74</v>
      </c>
      <c r="T456" t="s">
        <v>6362</v>
      </c>
      <c r="U456" t="s">
        <v>6363</v>
      </c>
      <c r="V456" t="s">
        <v>6364</v>
      </c>
      <c r="W456" t="s">
        <v>6365</v>
      </c>
      <c r="X456" t="s">
        <v>6366</v>
      </c>
      <c r="Y456" t="s">
        <v>6367</v>
      </c>
      <c r="Z456" t="s">
        <v>6368</v>
      </c>
      <c r="AA456" t="s">
        <v>74</v>
      </c>
      <c r="AB456" t="s">
        <v>74</v>
      </c>
      <c r="AC456" t="s">
        <v>74</v>
      </c>
      <c r="AD456" t="s">
        <v>74</v>
      </c>
      <c r="AE456" t="s">
        <v>74</v>
      </c>
      <c r="AF456" t="s">
        <v>74</v>
      </c>
      <c r="AG456">
        <v>13</v>
      </c>
      <c r="AH456">
        <v>1</v>
      </c>
      <c r="AI456">
        <v>2</v>
      </c>
      <c r="AJ456">
        <v>0</v>
      </c>
      <c r="AK456">
        <v>1</v>
      </c>
      <c r="AL456" t="s">
        <v>4847</v>
      </c>
      <c r="AM456" t="s">
        <v>204</v>
      </c>
      <c r="AN456" t="s">
        <v>5839</v>
      </c>
      <c r="AO456" t="s">
        <v>6369</v>
      </c>
      <c r="AP456" t="s">
        <v>6370</v>
      </c>
      <c r="AQ456" t="s">
        <v>74</v>
      </c>
      <c r="AR456" t="s">
        <v>6371</v>
      </c>
      <c r="AS456" t="s">
        <v>6372</v>
      </c>
      <c r="AT456" t="s">
        <v>5712</v>
      </c>
      <c r="AU456">
        <v>2001</v>
      </c>
      <c r="AV456">
        <v>11</v>
      </c>
      <c r="AW456">
        <v>7</v>
      </c>
      <c r="AX456" t="s">
        <v>74</v>
      </c>
      <c r="AY456" t="s">
        <v>74</v>
      </c>
      <c r="AZ456" t="s">
        <v>74</v>
      </c>
      <c r="BA456" t="s">
        <v>74</v>
      </c>
      <c r="BB456">
        <v>525</v>
      </c>
      <c r="BC456">
        <v>528</v>
      </c>
      <c r="BD456" t="s">
        <v>74</v>
      </c>
      <c r="BE456" t="s">
        <v>74</v>
      </c>
      <c r="BF456" t="s">
        <v>74</v>
      </c>
      <c r="BG456" t="s">
        <v>74</v>
      </c>
      <c r="BH456" t="s">
        <v>74</v>
      </c>
      <c r="BI456">
        <v>4</v>
      </c>
      <c r="BJ456" t="s">
        <v>6373</v>
      </c>
      <c r="BK456" t="s">
        <v>88</v>
      </c>
      <c r="BL456" t="s">
        <v>6374</v>
      </c>
      <c r="BM456" t="s">
        <v>6375</v>
      </c>
      <c r="BN456" t="s">
        <v>74</v>
      </c>
      <c r="BO456" t="s">
        <v>74</v>
      </c>
      <c r="BP456" t="s">
        <v>74</v>
      </c>
      <c r="BQ456" t="s">
        <v>74</v>
      </c>
      <c r="BR456" t="s">
        <v>91</v>
      </c>
      <c r="BS456" t="s">
        <v>6376</v>
      </c>
      <c r="BT456" t="str">
        <f>HYPERLINK("https%3A%2F%2Fwww.webofscience.com%2Fwos%2Fwoscc%2Ffull-record%2FWOS:000169517400006","View Full Record in Web of Science")</f>
        <v>View Full Record in Web of Science</v>
      </c>
    </row>
    <row r="457" spans="1:72" x14ac:dyDescent="0.15">
      <c r="A457" t="s">
        <v>72</v>
      </c>
      <c r="B457" t="s">
        <v>6377</v>
      </c>
      <c r="C457" t="s">
        <v>74</v>
      </c>
      <c r="D457" t="s">
        <v>74</v>
      </c>
      <c r="E457" t="s">
        <v>74</v>
      </c>
      <c r="F457" t="s">
        <v>6377</v>
      </c>
      <c r="G457" t="s">
        <v>74</v>
      </c>
      <c r="H457" t="s">
        <v>74</v>
      </c>
      <c r="I457" t="s">
        <v>6378</v>
      </c>
      <c r="J457" t="s">
        <v>6379</v>
      </c>
      <c r="K457" t="s">
        <v>74</v>
      </c>
      <c r="L457" t="s">
        <v>74</v>
      </c>
      <c r="M457" t="s">
        <v>77</v>
      </c>
      <c r="N457" t="s">
        <v>414</v>
      </c>
      <c r="O457" t="s">
        <v>74</v>
      </c>
      <c r="P457" t="s">
        <v>74</v>
      </c>
      <c r="Q457" t="s">
        <v>74</v>
      </c>
      <c r="R457" t="s">
        <v>74</v>
      </c>
      <c r="S457" t="s">
        <v>74</v>
      </c>
      <c r="T457" t="s">
        <v>74</v>
      </c>
      <c r="U457" t="s">
        <v>6380</v>
      </c>
      <c r="V457" t="s">
        <v>74</v>
      </c>
      <c r="W457" t="s">
        <v>6381</v>
      </c>
      <c r="X457" t="s">
        <v>6382</v>
      </c>
      <c r="Y457" t="s">
        <v>6383</v>
      </c>
      <c r="Z457" t="s">
        <v>74</v>
      </c>
      <c r="AA457" t="s">
        <v>6384</v>
      </c>
      <c r="AB457" t="s">
        <v>6385</v>
      </c>
      <c r="AC457" t="s">
        <v>74</v>
      </c>
      <c r="AD457" t="s">
        <v>74</v>
      </c>
      <c r="AE457" t="s">
        <v>74</v>
      </c>
      <c r="AF457" t="s">
        <v>74</v>
      </c>
      <c r="AG457">
        <v>73</v>
      </c>
      <c r="AH457">
        <v>16</v>
      </c>
      <c r="AI457">
        <v>17</v>
      </c>
      <c r="AJ457">
        <v>1</v>
      </c>
      <c r="AK457">
        <v>23</v>
      </c>
      <c r="AL457" t="s">
        <v>182</v>
      </c>
      <c r="AM457" t="s">
        <v>183</v>
      </c>
      <c r="AN457" t="s">
        <v>184</v>
      </c>
      <c r="AO457" t="s">
        <v>6386</v>
      </c>
      <c r="AP457" t="s">
        <v>74</v>
      </c>
      <c r="AQ457" t="s">
        <v>74</v>
      </c>
      <c r="AR457" t="s">
        <v>6379</v>
      </c>
      <c r="AS457" t="s">
        <v>6387</v>
      </c>
      <c r="AT457" t="s">
        <v>5712</v>
      </c>
      <c r="AU457">
        <v>2001</v>
      </c>
      <c r="AV457">
        <v>152</v>
      </c>
      <c r="AW457">
        <v>2</v>
      </c>
      <c r="AX457" t="s">
        <v>74</v>
      </c>
      <c r="AY457" t="s">
        <v>74</v>
      </c>
      <c r="AZ457" t="s">
        <v>74</v>
      </c>
      <c r="BA457" t="s">
        <v>74</v>
      </c>
      <c r="BB457">
        <v>93</v>
      </c>
      <c r="BC457">
        <v>101</v>
      </c>
      <c r="BD457" t="s">
        <v>74</v>
      </c>
      <c r="BE457" t="s">
        <v>6388</v>
      </c>
      <c r="BF457" t="str">
        <f>HYPERLINK("http://dx.doi.org/10.1078/1434-4610-00046","http://dx.doi.org/10.1078/1434-4610-00046")</f>
        <v>http://dx.doi.org/10.1078/1434-4610-00046</v>
      </c>
      <c r="BG457" t="s">
        <v>74</v>
      </c>
      <c r="BH457" t="s">
        <v>74</v>
      </c>
      <c r="BI457">
        <v>9</v>
      </c>
      <c r="BJ457" t="s">
        <v>1196</v>
      </c>
      <c r="BK457" t="s">
        <v>88</v>
      </c>
      <c r="BL457" t="s">
        <v>1196</v>
      </c>
      <c r="BM457" t="s">
        <v>6389</v>
      </c>
      <c r="BN457">
        <v>11545441</v>
      </c>
      <c r="BO457" t="s">
        <v>74</v>
      </c>
      <c r="BP457" t="s">
        <v>74</v>
      </c>
      <c r="BQ457" t="s">
        <v>74</v>
      </c>
      <c r="BR457" t="s">
        <v>91</v>
      </c>
      <c r="BS457" t="s">
        <v>6390</v>
      </c>
      <c r="BT457" t="str">
        <f>HYPERLINK("https%3A%2F%2Fwww.webofscience.com%2Fwos%2Fwoscc%2Ffull-record%2FWOS:000170653600001","View Full Record in Web of Science")</f>
        <v>View Full Record in Web of Science</v>
      </c>
    </row>
    <row r="458" spans="1:72" x14ac:dyDescent="0.15">
      <c r="A458" t="s">
        <v>72</v>
      </c>
      <c r="B458" t="s">
        <v>6391</v>
      </c>
      <c r="C458" t="s">
        <v>74</v>
      </c>
      <c r="D458" t="s">
        <v>74</v>
      </c>
      <c r="E458" t="s">
        <v>74</v>
      </c>
      <c r="F458" t="s">
        <v>6391</v>
      </c>
      <c r="G458" t="s">
        <v>74</v>
      </c>
      <c r="H458" t="s">
        <v>74</v>
      </c>
      <c r="I458" t="s">
        <v>6392</v>
      </c>
      <c r="J458" t="s">
        <v>2852</v>
      </c>
      <c r="K458" t="s">
        <v>74</v>
      </c>
      <c r="L458" t="s">
        <v>74</v>
      </c>
      <c r="M458" t="s">
        <v>77</v>
      </c>
      <c r="N458" t="s">
        <v>120</v>
      </c>
      <c r="O458" t="s">
        <v>74</v>
      </c>
      <c r="P458" t="s">
        <v>74</v>
      </c>
      <c r="Q458" t="s">
        <v>74</v>
      </c>
      <c r="R458" t="s">
        <v>74</v>
      </c>
      <c r="S458" t="s">
        <v>74</v>
      </c>
      <c r="T458" t="s">
        <v>6393</v>
      </c>
      <c r="U458" t="s">
        <v>6394</v>
      </c>
      <c r="V458" t="s">
        <v>6395</v>
      </c>
      <c r="W458" t="s">
        <v>6396</v>
      </c>
      <c r="X458" t="s">
        <v>6397</v>
      </c>
      <c r="Y458" t="s">
        <v>6398</v>
      </c>
      <c r="Z458" t="s">
        <v>74</v>
      </c>
      <c r="AA458" t="s">
        <v>6399</v>
      </c>
      <c r="AB458" t="s">
        <v>6400</v>
      </c>
      <c r="AC458" t="s">
        <v>74</v>
      </c>
      <c r="AD458" t="s">
        <v>74</v>
      </c>
      <c r="AE458" t="s">
        <v>74</v>
      </c>
      <c r="AF458" t="s">
        <v>74</v>
      </c>
      <c r="AG458">
        <v>43</v>
      </c>
      <c r="AH458">
        <v>5</v>
      </c>
      <c r="AI458">
        <v>5</v>
      </c>
      <c r="AJ458">
        <v>2</v>
      </c>
      <c r="AK458">
        <v>9</v>
      </c>
      <c r="AL458" t="s">
        <v>2860</v>
      </c>
      <c r="AM458" t="s">
        <v>1190</v>
      </c>
      <c r="AN458" t="s">
        <v>2861</v>
      </c>
      <c r="AO458" t="s">
        <v>2862</v>
      </c>
      <c r="AP458" t="s">
        <v>74</v>
      </c>
      <c r="AQ458" t="s">
        <v>74</v>
      </c>
      <c r="AR458" t="s">
        <v>2863</v>
      </c>
      <c r="AS458" t="s">
        <v>2864</v>
      </c>
      <c r="AT458" t="s">
        <v>5712</v>
      </c>
      <c r="AU458">
        <v>2001</v>
      </c>
      <c r="AV458">
        <v>127</v>
      </c>
      <c r="AW458">
        <v>575</v>
      </c>
      <c r="AX458" t="s">
        <v>74</v>
      </c>
      <c r="AY458" t="s">
        <v>74</v>
      </c>
      <c r="AZ458" t="s">
        <v>2865</v>
      </c>
      <c r="BA458" t="s">
        <v>74</v>
      </c>
      <c r="BB458">
        <v>1645</v>
      </c>
      <c r="BC458">
        <v>1658</v>
      </c>
      <c r="BD458" t="s">
        <v>74</v>
      </c>
      <c r="BE458" t="s">
        <v>6401</v>
      </c>
      <c r="BF458" t="str">
        <f>HYPERLINK("http://dx.doi.org/10.1002/qj.49712757510","http://dx.doi.org/10.1002/qj.49712757510")</f>
        <v>http://dx.doi.org/10.1002/qj.49712757510</v>
      </c>
      <c r="BG458" t="s">
        <v>74</v>
      </c>
      <c r="BH458" t="s">
        <v>74</v>
      </c>
      <c r="BI458">
        <v>14</v>
      </c>
      <c r="BJ458" t="s">
        <v>538</v>
      </c>
      <c r="BK458" t="s">
        <v>88</v>
      </c>
      <c r="BL458" t="s">
        <v>538</v>
      </c>
      <c r="BM458" t="s">
        <v>6402</v>
      </c>
      <c r="BN458" t="s">
        <v>74</v>
      </c>
      <c r="BO458" t="s">
        <v>74</v>
      </c>
      <c r="BP458" t="s">
        <v>74</v>
      </c>
      <c r="BQ458" t="s">
        <v>74</v>
      </c>
      <c r="BR458" t="s">
        <v>91</v>
      </c>
      <c r="BS458" t="s">
        <v>6403</v>
      </c>
      <c r="BT458" t="str">
        <f>HYPERLINK("https%3A%2F%2Fwww.webofscience.com%2Fwos%2Fwoscc%2Ffull-record%2FWOS:000170391100009","View Full Record in Web of Science")</f>
        <v>View Full Record in Web of Science</v>
      </c>
    </row>
    <row r="459" spans="1:72" x14ac:dyDescent="0.15">
      <c r="A459" t="s">
        <v>72</v>
      </c>
      <c r="B459" t="s">
        <v>6404</v>
      </c>
      <c r="C459" t="s">
        <v>74</v>
      </c>
      <c r="D459" t="s">
        <v>74</v>
      </c>
      <c r="E459" t="s">
        <v>74</v>
      </c>
      <c r="F459" t="s">
        <v>6404</v>
      </c>
      <c r="G459" t="s">
        <v>74</v>
      </c>
      <c r="H459" t="s">
        <v>74</v>
      </c>
      <c r="I459" t="s">
        <v>6405</v>
      </c>
      <c r="J459" t="s">
        <v>6406</v>
      </c>
      <c r="K459" t="s">
        <v>74</v>
      </c>
      <c r="L459" t="s">
        <v>74</v>
      </c>
      <c r="M459" t="s">
        <v>77</v>
      </c>
      <c r="N459" t="s">
        <v>120</v>
      </c>
      <c r="O459" t="s">
        <v>74</v>
      </c>
      <c r="P459" t="s">
        <v>74</v>
      </c>
      <c r="Q459" t="s">
        <v>74</v>
      </c>
      <c r="R459" t="s">
        <v>74</v>
      </c>
      <c r="S459" t="s">
        <v>74</v>
      </c>
      <c r="T459" t="s">
        <v>74</v>
      </c>
      <c r="U459" t="s">
        <v>6407</v>
      </c>
      <c r="V459" t="s">
        <v>6408</v>
      </c>
      <c r="W459" t="s">
        <v>6409</v>
      </c>
      <c r="X459" t="s">
        <v>6410</v>
      </c>
      <c r="Y459" t="s">
        <v>6411</v>
      </c>
      <c r="Z459" t="s">
        <v>6412</v>
      </c>
      <c r="AA459" t="s">
        <v>6413</v>
      </c>
      <c r="AB459" t="s">
        <v>6414</v>
      </c>
      <c r="AC459" t="s">
        <v>74</v>
      </c>
      <c r="AD459" t="s">
        <v>74</v>
      </c>
      <c r="AE459" t="s">
        <v>74</v>
      </c>
      <c r="AF459" t="s">
        <v>74</v>
      </c>
      <c r="AG459">
        <v>81</v>
      </c>
      <c r="AH459">
        <v>389</v>
      </c>
      <c r="AI459">
        <v>406</v>
      </c>
      <c r="AJ459">
        <v>0</v>
      </c>
      <c r="AK459">
        <v>55</v>
      </c>
      <c r="AL459" t="s">
        <v>79</v>
      </c>
      <c r="AM459" t="s">
        <v>80</v>
      </c>
      <c r="AN459" t="s">
        <v>81</v>
      </c>
      <c r="AO459" t="s">
        <v>6415</v>
      </c>
      <c r="AP459" t="s">
        <v>74</v>
      </c>
      <c r="AQ459" t="s">
        <v>74</v>
      </c>
      <c r="AR459" t="s">
        <v>6416</v>
      </c>
      <c r="AS459" t="s">
        <v>6417</v>
      </c>
      <c r="AT459" t="s">
        <v>5712</v>
      </c>
      <c r="AU459">
        <v>2001</v>
      </c>
      <c r="AV459">
        <v>20</v>
      </c>
      <c r="AW459">
        <v>13</v>
      </c>
      <c r="AX459" t="s">
        <v>74</v>
      </c>
      <c r="AY459" t="s">
        <v>74</v>
      </c>
      <c r="AZ459" t="s">
        <v>74</v>
      </c>
      <c r="BA459" t="s">
        <v>74</v>
      </c>
      <c r="BB459">
        <v>1437</v>
      </c>
      <c r="BC459">
        <v>1457</v>
      </c>
      <c r="BD459" t="s">
        <v>74</v>
      </c>
      <c r="BE459" t="s">
        <v>6418</v>
      </c>
      <c r="BF459" t="str">
        <f>HYPERLINK("http://dx.doi.org/10.1016/S0277-3791(01)00003-8","http://dx.doi.org/10.1016/S0277-3791(01)00003-8")</f>
        <v>http://dx.doi.org/10.1016/S0277-3791(01)00003-8</v>
      </c>
      <c r="BG459" t="s">
        <v>74</v>
      </c>
      <c r="BH459" t="s">
        <v>74</v>
      </c>
      <c r="BI459">
        <v>21</v>
      </c>
      <c r="BJ459" t="s">
        <v>1049</v>
      </c>
      <c r="BK459" t="s">
        <v>88</v>
      </c>
      <c r="BL459" t="s">
        <v>1050</v>
      </c>
      <c r="BM459" t="s">
        <v>6419</v>
      </c>
      <c r="BN459" t="s">
        <v>74</v>
      </c>
      <c r="BO459" t="s">
        <v>74</v>
      </c>
      <c r="BP459" t="s">
        <v>74</v>
      </c>
      <c r="BQ459" t="s">
        <v>74</v>
      </c>
      <c r="BR459" t="s">
        <v>91</v>
      </c>
      <c r="BS459" t="s">
        <v>6420</v>
      </c>
      <c r="BT459" t="str">
        <f>HYPERLINK("https%3A%2F%2Fwww.webofscience.com%2Fwos%2Fwoscc%2Ffull-record%2FWOS:000170071400003","View Full Record in Web of Science")</f>
        <v>View Full Record in Web of Science</v>
      </c>
    </row>
    <row r="460" spans="1:72" x14ac:dyDescent="0.15">
      <c r="A460" t="s">
        <v>72</v>
      </c>
      <c r="B460" t="s">
        <v>6421</v>
      </c>
      <c r="C460" t="s">
        <v>74</v>
      </c>
      <c r="D460" t="s">
        <v>74</v>
      </c>
      <c r="E460" t="s">
        <v>74</v>
      </c>
      <c r="F460" t="s">
        <v>6421</v>
      </c>
      <c r="G460" t="s">
        <v>74</v>
      </c>
      <c r="H460" t="s">
        <v>74</v>
      </c>
      <c r="I460" t="s">
        <v>6422</v>
      </c>
      <c r="J460" t="s">
        <v>4266</v>
      </c>
      <c r="K460" t="s">
        <v>74</v>
      </c>
      <c r="L460" t="s">
        <v>74</v>
      </c>
      <c r="M460" t="s">
        <v>77</v>
      </c>
      <c r="N460" t="s">
        <v>120</v>
      </c>
      <c r="O460" t="s">
        <v>74</v>
      </c>
      <c r="P460" t="s">
        <v>74</v>
      </c>
      <c r="Q460" t="s">
        <v>74</v>
      </c>
      <c r="R460" t="s">
        <v>74</v>
      </c>
      <c r="S460" t="s">
        <v>74</v>
      </c>
      <c r="T460" t="s">
        <v>74</v>
      </c>
      <c r="U460" t="s">
        <v>6423</v>
      </c>
      <c r="V460" t="s">
        <v>6424</v>
      </c>
      <c r="W460" t="s">
        <v>6425</v>
      </c>
      <c r="X460" t="s">
        <v>6426</v>
      </c>
      <c r="Y460" t="s">
        <v>6427</v>
      </c>
      <c r="Z460" t="s">
        <v>6428</v>
      </c>
      <c r="AA460" t="s">
        <v>6429</v>
      </c>
      <c r="AB460" t="s">
        <v>6430</v>
      </c>
      <c r="AC460" t="s">
        <v>74</v>
      </c>
      <c r="AD460" t="s">
        <v>74</v>
      </c>
      <c r="AE460" t="s">
        <v>74</v>
      </c>
      <c r="AF460" t="s">
        <v>74</v>
      </c>
      <c r="AG460">
        <v>25</v>
      </c>
      <c r="AH460">
        <v>87</v>
      </c>
      <c r="AI460">
        <v>90</v>
      </c>
      <c r="AJ460">
        <v>1</v>
      </c>
      <c r="AK460">
        <v>3</v>
      </c>
      <c r="AL460" t="s">
        <v>149</v>
      </c>
      <c r="AM460" t="s">
        <v>150</v>
      </c>
      <c r="AN460" t="s">
        <v>151</v>
      </c>
      <c r="AO460" t="s">
        <v>4272</v>
      </c>
      <c r="AP460" t="s">
        <v>6431</v>
      </c>
      <c r="AQ460" t="s">
        <v>74</v>
      </c>
      <c r="AR460" t="s">
        <v>4273</v>
      </c>
      <c r="AS460" t="s">
        <v>4274</v>
      </c>
      <c r="AT460" t="s">
        <v>5771</v>
      </c>
      <c r="AU460">
        <v>2001</v>
      </c>
      <c r="AV460">
        <v>36</v>
      </c>
      <c r="AW460">
        <v>4</v>
      </c>
      <c r="AX460" t="s">
        <v>74</v>
      </c>
      <c r="AY460" t="s">
        <v>74</v>
      </c>
      <c r="AZ460" t="s">
        <v>74</v>
      </c>
      <c r="BA460" t="s">
        <v>74</v>
      </c>
      <c r="BB460">
        <v>773</v>
      </c>
      <c r="BC460">
        <v>788</v>
      </c>
      <c r="BD460" t="s">
        <v>74</v>
      </c>
      <c r="BE460" t="s">
        <v>6432</v>
      </c>
      <c r="BF460" t="str">
        <f>HYPERLINK("http://dx.doi.org/10.1029/2000RS002395","http://dx.doi.org/10.1029/2000RS002395")</f>
        <v>http://dx.doi.org/10.1029/2000RS002395</v>
      </c>
      <c r="BG460" t="s">
        <v>74</v>
      </c>
      <c r="BH460" t="s">
        <v>74</v>
      </c>
      <c r="BI460">
        <v>16</v>
      </c>
      <c r="BJ460" t="s">
        <v>4276</v>
      </c>
      <c r="BK460" t="s">
        <v>88</v>
      </c>
      <c r="BL460" t="s">
        <v>4276</v>
      </c>
      <c r="BM460" t="s">
        <v>6433</v>
      </c>
      <c r="BN460" t="s">
        <v>74</v>
      </c>
      <c r="BO460" t="s">
        <v>171</v>
      </c>
      <c r="BP460" t="s">
        <v>74</v>
      </c>
      <c r="BQ460" t="s">
        <v>74</v>
      </c>
      <c r="BR460" t="s">
        <v>91</v>
      </c>
      <c r="BS460" t="s">
        <v>6434</v>
      </c>
      <c r="BT460" t="str">
        <f>HYPERLINK("https%3A%2F%2Fwww.webofscience.com%2Fwos%2Fwoscc%2Ffull-record%2FWOS:000170101600023","View Full Record in Web of Science")</f>
        <v>View Full Record in Web of Science</v>
      </c>
    </row>
    <row r="461" spans="1:72" x14ac:dyDescent="0.15">
      <c r="A461" t="s">
        <v>72</v>
      </c>
      <c r="B461" t="s">
        <v>6435</v>
      </c>
      <c r="C461" t="s">
        <v>74</v>
      </c>
      <c r="D461" t="s">
        <v>74</v>
      </c>
      <c r="E461" t="s">
        <v>74</v>
      </c>
      <c r="F461" t="s">
        <v>6435</v>
      </c>
      <c r="G461" t="s">
        <v>74</v>
      </c>
      <c r="H461" t="s">
        <v>74</v>
      </c>
      <c r="I461" t="s">
        <v>6436</v>
      </c>
      <c r="J461" t="s">
        <v>6437</v>
      </c>
      <c r="K461" t="s">
        <v>74</v>
      </c>
      <c r="L461" t="s">
        <v>74</v>
      </c>
      <c r="M461" t="s">
        <v>77</v>
      </c>
      <c r="N461" t="s">
        <v>120</v>
      </c>
      <c r="O461" t="s">
        <v>74</v>
      </c>
      <c r="P461" t="s">
        <v>74</v>
      </c>
      <c r="Q461" t="s">
        <v>74</v>
      </c>
      <c r="R461" t="s">
        <v>74</v>
      </c>
      <c r="S461" t="s">
        <v>74</v>
      </c>
      <c r="T461" t="s">
        <v>6438</v>
      </c>
      <c r="U461" t="s">
        <v>6439</v>
      </c>
      <c r="V461" t="s">
        <v>6440</v>
      </c>
      <c r="W461" t="s">
        <v>6441</v>
      </c>
      <c r="X461" t="s">
        <v>6442</v>
      </c>
      <c r="Y461" t="s">
        <v>6443</v>
      </c>
      <c r="Z461" t="s">
        <v>74</v>
      </c>
      <c r="AA461" t="s">
        <v>74</v>
      </c>
      <c r="AB461" t="s">
        <v>74</v>
      </c>
      <c r="AC461" t="s">
        <v>74</v>
      </c>
      <c r="AD461" t="s">
        <v>74</v>
      </c>
      <c r="AE461" t="s">
        <v>74</v>
      </c>
      <c r="AF461" t="s">
        <v>74</v>
      </c>
      <c r="AG461">
        <v>29</v>
      </c>
      <c r="AH461">
        <v>6</v>
      </c>
      <c r="AI461">
        <v>6</v>
      </c>
      <c r="AJ461">
        <v>0</v>
      </c>
      <c r="AK461">
        <v>4</v>
      </c>
      <c r="AL461" t="s">
        <v>4847</v>
      </c>
      <c r="AM461" t="s">
        <v>204</v>
      </c>
      <c r="AN461" t="s">
        <v>4848</v>
      </c>
      <c r="AO461" t="s">
        <v>6444</v>
      </c>
      <c r="AP461" t="s">
        <v>74</v>
      </c>
      <c r="AQ461" t="s">
        <v>74</v>
      </c>
      <c r="AR461" t="s">
        <v>6445</v>
      </c>
      <c r="AS461" t="s">
        <v>6446</v>
      </c>
      <c r="AT461" t="s">
        <v>5712</v>
      </c>
      <c r="AU461">
        <v>2001</v>
      </c>
      <c r="AV461">
        <v>77</v>
      </c>
      <c r="AW461">
        <v>1</v>
      </c>
      <c r="AX461" t="s">
        <v>74</v>
      </c>
      <c r="AY461" t="s">
        <v>74</v>
      </c>
      <c r="AZ461" t="s">
        <v>74</v>
      </c>
      <c r="BA461" t="s">
        <v>74</v>
      </c>
      <c r="BB461">
        <v>112</v>
      </c>
      <c r="BC461">
        <v>121</v>
      </c>
      <c r="BD461" t="s">
        <v>74</v>
      </c>
      <c r="BE461" t="s">
        <v>6447</v>
      </c>
      <c r="BF461" t="str">
        <f>HYPERLINK("http://dx.doi.org/10.1016/S0034-4257(01)00200-0","http://dx.doi.org/10.1016/S0034-4257(01)00200-0")</f>
        <v>http://dx.doi.org/10.1016/S0034-4257(01)00200-0</v>
      </c>
      <c r="BG461" t="s">
        <v>74</v>
      </c>
      <c r="BH461" t="s">
        <v>74</v>
      </c>
      <c r="BI461">
        <v>10</v>
      </c>
      <c r="BJ461" t="s">
        <v>6448</v>
      </c>
      <c r="BK461" t="s">
        <v>88</v>
      </c>
      <c r="BL461" t="s">
        <v>6449</v>
      </c>
      <c r="BM461" t="s">
        <v>6450</v>
      </c>
      <c r="BN461" t="s">
        <v>74</v>
      </c>
      <c r="BO461" t="s">
        <v>74</v>
      </c>
      <c r="BP461" t="s">
        <v>74</v>
      </c>
      <c r="BQ461" t="s">
        <v>74</v>
      </c>
      <c r="BR461" t="s">
        <v>91</v>
      </c>
      <c r="BS461" t="s">
        <v>6451</v>
      </c>
      <c r="BT461" t="str">
        <f>HYPERLINK("https%3A%2F%2Fwww.webofscience.com%2Fwos%2Fwoscc%2Ffull-record%2FWOS:000169955400010","View Full Record in Web of Science")</f>
        <v>View Full Record in Web of Science</v>
      </c>
    </row>
    <row r="462" spans="1:72" x14ac:dyDescent="0.15">
      <c r="A462" t="s">
        <v>72</v>
      </c>
      <c r="B462" t="s">
        <v>6452</v>
      </c>
      <c r="C462" t="s">
        <v>74</v>
      </c>
      <c r="D462" t="s">
        <v>74</v>
      </c>
      <c r="E462" t="s">
        <v>74</v>
      </c>
      <c r="F462" t="s">
        <v>6452</v>
      </c>
      <c r="G462" t="s">
        <v>74</v>
      </c>
      <c r="H462" t="s">
        <v>74</v>
      </c>
      <c r="I462" t="s">
        <v>6453</v>
      </c>
      <c r="J462" t="s">
        <v>6454</v>
      </c>
      <c r="K462" t="s">
        <v>74</v>
      </c>
      <c r="L462" t="s">
        <v>74</v>
      </c>
      <c r="M462" t="s">
        <v>77</v>
      </c>
      <c r="N462" t="s">
        <v>120</v>
      </c>
      <c r="O462" t="s">
        <v>74</v>
      </c>
      <c r="P462" t="s">
        <v>74</v>
      </c>
      <c r="Q462" t="s">
        <v>74</v>
      </c>
      <c r="R462" t="s">
        <v>74</v>
      </c>
      <c r="S462" t="s">
        <v>74</v>
      </c>
      <c r="T462" t="s">
        <v>6455</v>
      </c>
      <c r="U462" t="s">
        <v>74</v>
      </c>
      <c r="V462" t="s">
        <v>6456</v>
      </c>
      <c r="W462" t="s">
        <v>6457</v>
      </c>
      <c r="X462" t="s">
        <v>5558</v>
      </c>
      <c r="Y462" t="s">
        <v>6458</v>
      </c>
      <c r="Z462" t="s">
        <v>74</v>
      </c>
      <c r="AA462" t="s">
        <v>74</v>
      </c>
      <c r="AB462" t="s">
        <v>74</v>
      </c>
      <c r="AC462" t="s">
        <v>74</v>
      </c>
      <c r="AD462" t="s">
        <v>74</v>
      </c>
      <c r="AE462" t="s">
        <v>74</v>
      </c>
      <c r="AF462" t="s">
        <v>74</v>
      </c>
      <c r="AG462">
        <v>9</v>
      </c>
      <c r="AH462">
        <v>9</v>
      </c>
      <c r="AI462">
        <v>10</v>
      </c>
      <c r="AJ462">
        <v>0</v>
      </c>
      <c r="AK462">
        <v>4</v>
      </c>
      <c r="AL462" t="s">
        <v>6454</v>
      </c>
      <c r="AM462" t="s">
        <v>6459</v>
      </c>
      <c r="AN462" t="s">
        <v>6460</v>
      </c>
      <c r="AO462" t="s">
        <v>6461</v>
      </c>
      <c r="AP462" t="s">
        <v>74</v>
      </c>
      <c r="AQ462" t="s">
        <v>74</v>
      </c>
      <c r="AR462" t="s">
        <v>6462</v>
      </c>
      <c r="AS462" t="s">
        <v>6463</v>
      </c>
      <c r="AT462" t="s">
        <v>5712</v>
      </c>
      <c r="AU462">
        <v>2001</v>
      </c>
      <c r="AV462">
        <v>49</v>
      </c>
      <c r="AW462" t="s">
        <v>74</v>
      </c>
      <c r="AX462" t="s">
        <v>74</v>
      </c>
      <c r="AY462">
        <v>1</v>
      </c>
      <c r="AZ462" t="s">
        <v>74</v>
      </c>
      <c r="BA462" t="s">
        <v>74</v>
      </c>
      <c r="BB462">
        <v>117</v>
      </c>
      <c r="BC462" t="s">
        <v>607</v>
      </c>
      <c r="BD462" t="s">
        <v>74</v>
      </c>
      <c r="BE462" t="s">
        <v>74</v>
      </c>
      <c r="BF462" t="s">
        <v>74</v>
      </c>
      <c r="BG462" t="s">
        <v>74</v>
      </c>
      <c r="BH462" t="s">
        <v>74</v>
      </c>
      <c r="BI462">
        <v>7</v>
      </c>
      <c r="BJ462" t="s">
        <v>1231</v>
      </c>
      <c r="BK462" t="s">
        <v>88</v>
      </c>
      <c r="BL462" t="s">
        <v>1232</v>
      </c>
      <c r="BM462" t="s">
        <v>6464</v>
      </c>
      <c r="BN462">
        <v>15260160</v>
      </c>
      <c r="BO462" t="s">
        <v>74</v>
      </c>
      <c r="BP462" t="s">
        <v>74</v>
      </c>
      <c r="BQ462" t="s">
        <v>74</v>
      </c>
      <c r="BR462" t="s">
        <v>91</v>
      </c>
      <c r="BS462" t="s">
        <v>6465</v>
      </c>
      <c r="BT462" t="str">
        <f>HYPERLINK("https%3A%2F%2Fwww.webofscience.com%2Fwos%2Fwoscc%2Ffull-record%2FWOS:000172312600015","View Full Record in Web of Science")</f>
        <v>View Full Record in Web of Science</v>
      </c>
    </row>
    <row r="463" spans="1:72" x14ac:dyDescent="0.15">
      <c r="A463" t="s">
        <v>72</v>
      </c>
      <c r="B463" t="s">
        <v>6466</v>
      </c>
      <c r="C463" t="s">
        <v>74</v>
      </c>
      <c r="D463" t="s">
        <v>74</v>
      </c>
      <c r="E463" t="s">
        <v>74</v>
      </c>
      <c r="F463" t="s">
        <v>6466</v>
      </c>
      <c r="G463" t="s">
        <v>74</v>
      </c>
      <c r="H463" t="s">
        <v>74</v>
      </c>
      <c r="I463" t="s">
        <v>6467</v>
      </c>
      <c r="J463" t="s">
        <v>305</v>
      </c>
      <c r="K463" t="s">
        <v>74</v>
      </c>
      <c r="L463" t="s">
        <v>74</v>
      </c>
      <c r="M463" t="s">
        <v>77</v>
      </c>
      <c r="N463" t="s">
        <v>435</v>
      </c>
      <c r="O463" t="s">
        <v>6468</v>
      </c>
      <c r="P463" t="s">
        <v>6469</v>
      </c>
      <c r="Q463" t="s">
        <v>6470</v>
      </c>
      <c r="R463" t="s">
        <v>74</v>
      </c>
      <c r="S463" t="s">
        <v>74</v>
      </c>
      <c r="T463" t="s">
        <v>6471</v>
      </c>
      <c r="U463" t="s">
        <v>6472</v>
      </c>
      <c r="V463" t="s">
        <v>6473</v>
      </c>
      <c r="W463" t="s">
        <v>6474</v>
      </c>
      <c r="X463" t="s">
        <v>6475</v>
      </c>
      <c r="Y463" t="s">
        <v>6476</v>
      </c>
      <c r="Z463" t="s">
        <v>74</v>
      </c>
      <c r="AA463" t="s">
        <v>6477</v>
      </c>
      <c r="AB463" t="s">
        <v>6478</v>
      </c>
      <c r="AC463" t="s">
        <v>74</v>
      </c>
      <c r="AD463" t="s">
        <v>74</v>
      </c>
      <c r="AE463" t="s">
        <v>74</v>
      </c>
      <c r="AF463" t="s">
        <v>74</v>
      </c>
      <c r="AG463">
        <v>36</v>
      </c>
      <c r="AH463">
        <v>39</v>
      </c>
      <c r="AI463">
        <v>41</v>
      </c>
      <c r="AJ463">
        <v>1</v>
      </c>
      <c r="AK463">
        <v>10</v>
      </c>
      <c r="AL463" t="s">
        <v>4306</v>
      </c>
      <c r="AM463" t="s">
        <v>4307</v>
      </c>
      <c r="AN463" t="s">
        <v>6479</v>
      </c>
      <c r="AO463" t="s">
        <v>318</v>
      </c>
      <c r="AP463" t="s">
        <v>74</v>
      </c>
      <c r="AQ463" t="s">
        <v>74</v>
      </c>
      <c r="AR463" t="s">
        <v>320</v>
      </c>
      <c r="AS463" t="s">
        <v>321</v>
      </c>
      <c r="AT463" t="s">
        <v>5712</v>
      </c>
      <c r="AU463">
        <v>2001</v>
      </c>
      <c r="AV463">
        <v>65</v>
      </c>
      <c r="AW463" t="s">
        <v>74</v>
      </c>
      <c r="AX463" t="s">
        <v>74</v>
      </c>
      <c r="AY463">
        <v>1</v>
      </c>
      <c r="AZ463" t="s">
        <v>74</v>
      </c>
      <c r="BA463" t="s">
        <v>74</v>
      </c>
      <c r="BB463">
        <v>177</v>
      </c>
      <c r="BC463">
        <v>186</v>
      </c>
      <c r="BD463" t="s">
        <v>74</v>
      </c>
      <c r="BE463" t="s">
        <v>6480</v>
      </c>
      <c r="BF463" t="str">
        <f>HYPERLINK("http://dx.doi.org/10.3989/scimar.2001.65s1177","http://dx.doi.org/10.3989/scimar.2001.65s1177")</f>
        <v>http://dx.doi.org/10.3989/scimar.2001.65s1177</v>
      </c>
      <c r="BG463" t="s">
        <v>74</v>
      </c>
      <c r="BH463" t="s">
        <v>74</v>
      </c>
      <c r="BI463">
        <v>10</v>
      </c>
      <c r="BJ463" t="s">
        <v>323</v>
      </c>
      <c r="BK463" t="s">
        <v>453</v>
      </c>
      <c r="BL463" t="s">
        <v>323</v>
      </c>
      <c r="BM463" t="s">
        <v>6481</v>
      </c>
      <c r="BN463" t="s">
        <v>74</v>
      </c>
      <c r="BO463" t="s">
        <v>325</v>
      </c>
      <c r="BP463" t="s">
        <v>74</v>
      </c>
      <c r="BQ463" t="s">
        <v>74</v>
      </c>
      <c r="BR463" t="s">
        <v>91</v>
      </c>
      <c r="BS463" t="s">
        <v>6482</v>
      </c>
      <c r="BT463" t="str">
        <f>HYPERLINK("https%3A%2F%2Fwww.webofscience.com%2Fwos%2Fwoscc%2Ffull-record%2FWOS:000170284000018","View Full Record in Web of Science")</f>
        <v>View Full Record in Web of Science</v>
      </c>
    </row>
    <row r="464" spans="1:72" x14ac:dyDescent="0.15">
      <c r="A464" t="s">
        <v>72</v>
      </c>
      <c r="B464" t="s">
        <v>6483</v>
      </c>
      <c r="C464" t="s">
        <v>74</v>
      </c>
      <c r="D464" t="s">
        <v>74</v>
      </c>
      <c r="E464" t="s">
        <v>74</v>
      </c>
      <c r="F464" t="s">
        <v>6483</v>
      </c>
      <c r="G464" t="s">
        <v>74</v>
      </c>
      <c r="H464" t="s">
        <v>74</v>
      </c>
      <c r="I464" t="s">
        <v>6484</v>
      </c>
      <c r="J464" t="s">
        <v>6485</v>
      </c>
      <c r="K464" t="s">
        <v>74</v>
      </c>
      <c r="L464" t="s">
        <v>74</v>
      </c>
      <c r="M464" t="s">
        <v>77</v>
      </c>
      <c r="N464" t="s">
        <v>6486</v>
      </c>
      <c r="O464" t="s">
        <v>74</v>
      </c>
      <c r="P464" t="s">
        <v>74</v>
      </c>
      <c r="Q464" t="s">
        <v>74</v>
      </c>
      <c r="R464" t="s">
        <v>74</v>
      </c>
      <c r="S464" t="s">
        <v>74</v>
      </c>
      <c r="T464" t="s">
        <v>74</v>
      </c>
      <c r="U464" t="s">
        <v>74</v>
      </c>
      <c r="V464" t="s">
        <v>74</v>
      </c>
      <c r="W464" t="s">
        <v>74</v>
      </c>
      <c r="X464" t="s">
        <v>74</v>
      </c>
      <c r="Y464" t="s">
        <v>74</v>
      </c>
      <c r="Z464" t="s">
        <v>74</v>
      </c>
      <c r="AA464" t="s">
        <v>74</v>
      </c>
      <c r="AB464" t="s">
        <v>74</v>
      </c>
      <c r="AC464" t="s">
        <v>74</v>
      </c>
      <c r="AD464" t="s">
        <v>74</v>
      </c>
      <c r="AE464" t="s">
        <v>74</v>
      </c>
      <c r="AF464" t="s">
        <v>74</v>
      </c>
      <c r="AG464">
        <v>1</v>
      </c>
      <c r="AH464">
        <v>0</v>
      </c>
      <c r="AI464">
        <v>0</v>
      </c>
      <c r="AJ464">
        <v>0</v>
      </c>
      <c r="AK464">
        <v>0</v>
      </c>
      <c r="AL464" t="s">
        <v>6487</v>
      </c>
      <c r="AM464" t="s">
        <v>683</v>
      </c>
      <c r="AN464" t="s">
        <v>6488</v>
      </c>
      <c r="AO464" t="s">
        <v>6489</v>
      </c>
      <c r="AP464" t="s">
        <v>74</v>
      </c>
      <c r="AQ464" t="s">
        <v>74</v>
      </c>
      <c r="AR464" t="s">
        <v>6485</v>
      </c>
      <c r="AS464" t="s">
        <v>6490</v>
      </c>
      <c r="AT464" t="s">
        <v>5712</v>
      </c>
      <c r="AU464">
        <v>2001</v>
      </c>
      <c r="AV464">
        <v>217</v>
      </c>
      <c r="AW464" t="s">
        <v>74</v>
      </c>
      <c r="AX464" t="s">
        <v>74</v>
      </c>
      <c r="AY464" t="s">
        <v>74</v>
      </c>
      <c r="AZ464" t="s">
        <v>74</v>
      </c>
      <c r="BA464" t="s">
        <v>74</v>
      </c>
      <c r="BB464">
        <v>52</v>
      </c>
      <c r="BC464">
        <v>52</v>
      </c>
      <c r="BD464" t="s">
        <v>74</v>
      </c>
      <c r="BE464" t="s">
        <v>74</v>
      </c>
      <c r="BF464" t="s">
        <v>74</v>
      </c>
      <c r="BG464" t="s">
        <v>74</v>
      </c>
      <c r="BH464" t="s">
        <v>74</v>
      </c>
      <c r="BI464">
        <v>1</v>
      </c>
      <c r="BJ464" t="s">
        <v>6491</v>
      </c>
      <c r="BK464" t="s">
        <v>3202</v>
      </c>
      <c r="BL464" t="s">
        <v>6491</v>
      </c>
      <c r="BM464" t="s">
        <v>6492</v>
      </c>
      <c r="BN464" t="s">
        <v>74</v>
      </c>
      <c r="BO464" t="s">
        <v>74</v>
      </c>
      <c r="BP464" t="s">
        <v>74</v>
      </c>
      <c r="BQ464" t="s">
        <v>74</v>
      </c>
      <c r="BR464" t="s">
        <v>91</v>
      </c>
      <c r="BS464" t="s">
        <v>6493</v>
      </c>
      <c r="BT464" t="str">
        <f>HYPERLINK("https%3A%2F%2Fwww.webofscience.com%2Fwos%2Fwoscc%2Ffull-record%2FWOS:000169866200012","View Full Record in Web of Science")</f>
        <v>View Full Record in Web of Science</v>
      </c>
    </row>
    <row r="465" spans="1:72" x14ac:dyDescent="0.15">
      <c r="A465" t="s">
        <v>72</v>
      </c>
      <c r="B465" t="s">
        <v>594</v>
      </c>
      <c r="C465" t="s">
        <v>74</v>
      </c>
      <c r="D465" t="s">
        <v>74</v>
      </c>
      <c r="E465" t="s">
        <v>74</v>
      </c>
      <c r="F465" t="s">
        <v>594</v>
      </c>
      <c r="G465" t="s">
        <v>74</v>
      </c>
      <c r="H465" t="s">
        <v>74</v>
      </c>
      <c r="I465" t="s">
        <v>6494</v>
      </c>
      <c r="J465" t="s">
        <v>478</v>
      </c>
      <c r="K465" t="s">
        <v>74</v>
      </c>
      <c r="L465" t="s">
        <v>74</v>
      </c>
      <c r="M465" t="s">
        <v>77</v>
      </c>
      <c r="N465" t="s">
        <v>120</v>
      </c>
      <c r="O465" t="s">
        <v>74</v>
      </c>
      <c r="P465" t="s">
        <v>74</v>
      </c>
      <c r="Q465" t="s">
        <v>74</v>
      </c>
      <c r="R465" t="s">
        <v>74</v>
      </c>
      <c r="S465" t="s">
        <v>74</v>
      </c>
      <c r="T465" t="s">
        <v>597</v>
      </c>
      <c r="U465" t="s">
        <v>598</v>
      </c>
      <c r="V465" t="s">
        <v>6495</v>
      </c>
      <c r="W465" t="s">
        <v>6496</v>
      </c>
      <c r="X465" t="s">
        <v>6497</v>
      </c>
      <c r="Y465" t="s">
        <v>602</v>
      </c>
      <c r="Z465" t="s">
        <v>603</v>
      </c>
      <c r="AA465" t="s">
        <v>6498</v>
      </c>
      <c r="AB465" t="s">
        <v>605</v>
      </c>
      <c r="AC465" t="s">
        <v>74</v>
      </c>
      <c r="AD465" t="s">
        <v>74</v>
      </c>
      <c r="AE465" t="s">
        <v>74</v>
      </c>
      <c r="AF465" t="s">
        <v>74</v>
      </c>
      <c r="AG465">
        <v>27</v>
      </c>
      <c r="AH465">
        <v>11</v>
      </c>
      <c r="AI465">
        <v>11</v>
      </c>
      <c r="AJ465">
        <v>0</v>
      </c>
      <c r="AK465">
        <v>2</v>
      </c>
      <c r="AL465" t="s">
        <v>349</v>
      </c>
      <c r="AM465" t="s">
        <v>350</v>
      </c>
      <c r="AN465" t="s">
        <v>351</v>
      </c>
      <c r="AO465" t="s">
        <v>490</v>
      </c>
      <c r="AP465" t="s">
        <v>491</v>
      </c>
      <c r="AQ465" t="s">
        <v>74</v>
      </c>
      <c r="AR465" t="s">
        <v>492</v>
      </c>
      <c r="AS465" t="s">
        <v>493</v>
      </c>
      <c r="AT465" t="s">
        <v>6499</v>
      </c>
      <c r="AU465">
        <v>2001</v>
      </c>
      <c r="AV465">
        <v>189</v>
      </c>
      <c r="AW465" t="s">
        <v>495</v>
      </c>
      <c r="AX465" t="s">
        <v>74</v>
      </c>
      <c r="AY465" t="s">
        <v>74</v>
      </c>
      <c r="AZ465" t="s">
        <v>74</v>
      </c>
      <c r="BA465" t="s">
        <v>74</v>
      </c>
      <c r="BB465">
        <v>93</v>
      </c>
      <c r="BC465">
        <v>102</v>
      </c>
      <c r="BD465" t="s">
        <v>74</v>
      </c>
      <c r="BE465" t="s">
        <v>6500</v>
      </c>
      <c r="BF465" t="str">
        <f>HYPERLINK("http://dx.doi.org/10.1016/S0012-821X(01)00348-X","http://dx.doi.org/10.1016/S0012-821X(01)00348-X")</f>
        <v>http://dx.doi.org/10.1016/S0012-821X(01)00348-X</v>
      </c>
      <c r="BG465" t="s">
        <v>74</v>
      </c>
      <c r="BH465" t="s">
        <v>74</v>
      </c>
      <c r="BI465">
        <v>10</v>
      </c>
      <c r="BJ465" t="s">
        <v>388</v>
      </c>
      <c r="BK465" t="s">
        <v>88</v>
      </c>
      <c r="BL465" t="s">
        <v>388</v>
      </c>
      <c r="BM465" t="s">
        <v>6501</v>
      </c>
      <c r="BN465" t="s">
        <v>74</v>
      </c>
      <c r="BO465" t="s">
        <v>74</v>
      </c>
      <c r="BP465" t="s">
        <v>74</v>
      </c>
      <c r="BQ465" t="s">
        <v>74</v>
      </c>
      <c r="BR465" t="s">
        <v>91</v>
      </c>
      <c r="BS465" t="s">
        <v>6502</v>
      </c>
      <c r="BT465" t="str">
        <f>HYPERLINK("https%3A%2F%2Fwww.webofscience.com%2Fwos%2Fwoscc%2Ffull-record%2FWOS:000169539500009","View Full Record in Web of Science")</f>
        <v>View Full Record in Web of Science</v>
      </c>
    </row>
    <row r="466" spans="1:72" x14ac:dyDescent="0.15">
      <c r="A466" t="s">
        <v>72</v>
      </c>
      <c r="B466" t="s">
        <v>6503</v>
      </c>
      <c r="C466" t="s">
        <v>74</v>
      </c>
      <c r="D466" t="s">
        <v>74</v>
      </c>
      <c r="E466" t="s">
        <v>74</v>
      </c>
      <c r="F466" t="s">
        <v>6503</v>
      </c>
      <c r="G466" t="s">
        <v>74</v>
      </c>
      <c r="H466" t="s">
        <v>74</v>
      </c>
      <c r="I466" t="s">
        <v>6504</v>
      </c>
      <c r="J466" t="s">
        <v>6505</v>
      </c>
      <c r="K466" t="s">
        <v>74</v>
      </c>
      <c r="L466" t="s">
        <v>74</v>
      </c>
      <c r="M466" t="s">
        <v>77</v>
      </c>
      <c r="N466" t="s">
        <v>96</v>
      </c>
      <c r="O466" t="s">
        <v>74</v>
      </c>
      <c r="P466" t="s">
        <v>74</v>
      </c>
      <c r="Q466" t="s">
        <v>74</v>
      </c>
      <c r="R466" t="s">
        <v>74</v>
      </c>
      <c r="S466" t="s">
        <v>74</v>
      </c>
      <c r="T466" t="s">
        <v>74</v>
      </c>
      <c r="U466" t="s">
        <v>6506</v>
      </c>
      <c r="V466" t="s">
        <v>6507</v>
      </c>
      <c r="W466" t="s">
        <v>6508</v>
      </c>
      <c r="X466" t="s">
        <v>6509</v>
      </c>
      <c r="Y466" t="s">
        <v>6510</v>
      </c>
      <c r="Z466" t="s">
        <v>6511</v>
      </c>
      <c r="AA466" t="s">
        <v>74</v>
      </c>
      <c r="AB466" t="s">
        <v>6512</v>
      </c>
      <c r="AC466" t="s">
        <v>74</v>
      </c>
      <c r="AD466" t="s">
        <v>74</v>
      </c>
      <c r="AE466" t="s">
        <v>74</v>
      </c>
      <c r="AF466" t="s">
        <v>74</v>
      </c>
      <c r="AG466">
        <v>172</v>
      </c>
      <c r="AH466">
        <v>7</v>
      </c>
      <c r="AI466">
        <v>11</v>
      </c>
      <c r="AJ466">
        <v>0</v>
      </c>
      <c r="AK466">
        <v>2</v>
      </c>
      <c r="AL466" t="s">
        <v>6513</v>
      </c>
      <c r="AM466" t="s">
        <v>4244</v>
      </c>
      <c r="AN466" t="s">
        <v>4245</v>
      </c>
      <c r="AO466" t="s">
        <v>6514</v>
      </c>
      <c r="AP466" t="s">
        <v>74</v>
      </c>
      <c r="AQ466" t="s">
        <v>74</v>
      </c>
      <c r="AR466" t="s">
        <v>6515</v>
      </c>
      <c r="AS466" t="s">
        <v>6516</v>
      </c>
      <c r="AT466" t="s">
        <v>6517</v>
      </c>
      <c r="AU466">
        <v>2001</v>
      </c>
      <c r="AV466">
        <v>14</v>
      </c>
      <c r="AW466">
        <v>3</v>
      </c>
      <c r="AX466" t="s">
        <v>74</v>
      </c>
      <c r="AY466" t="s">
        <v>74</v>
      </c>
      <c r="AZ466" t="s">
        <v>74</v>
      </c>
      <c r="BA466" t="s">
        <v>74</v>
      </c>
      <c r="BB466">
        <v>417</v>
      </c>
      <c r="BC466">
        <v>437</v>
      </c>
      <c r="BD466" t="s">
        <v>74</v>
      </c>
      <c r="BE466" t="s">
        <v>6518</v>
      </c>
      <c r="BF466" t="str">
        <f>HYPERLINK("http://dx.doi.org/10.1071/SB99033","http://dx.doi.org/10.1071/SB99033")</f>
        <v>http://dx.doi.org/10.1071/SB99033</v>
      </c>
      <c r="BG466" t="s">
        <v>74</v>
      </c>
      <c r="BH466" t="s">
        <v>74</v>
      </c>
      <c r="BI466">
        <v>21</v>
      </c>
      <c r="BJ466" t="s">
        <v>6519</v>
      </c>
      <c r="BK466" t="s">
        <v>88</v>
      </c>
      <c r="BL466" t="s">
        <v>6519</v>
      </c>
      <c r="BM466" t="s">
        <v>6520</v>
      </c>
      <c r="BN466" t="s">
        <v>74</v>
      </c>
      <c r="BO466" t="s">
        <v>74</v>
      </c>
      <c r="BP466" t="s">
        <v>74</v>
      </c>
      <c r="BQ466" t="s">
        <v>74</v>
      </c>
      <c r="BR466" t="s">
        <v>91</v>
      </c>
      <c r="BS466" t="s">
        <v>6521</v>
      </c>
      <c r="BT466" t="str">
        <f>HYPERLINK("https%3A%2F%2Fwww.webofscience.com%2Fwos%2Fwoscc%2Ffull-record%2FWOS:000169560500008","View Full Record in Web of Science")</f>
        <v>View Full Record in Web of Science</v>
      </c>
    </row>
    <row r="467" spans="1:72" x14ac:dyDescent="0.15">
      <c r="A467" t="s">
        <v>72</v>
      </c>
      <c r="B467" t="s">
        <v>6522</v>
      </c>
      <c r="C467" t="s">
        <v>74</v>
      </c>
      <c r="D467" t="s">
        <v>74</v>
      </c>
      <c r="E467" t="s">
        <v>74</v>
      </c>
      <c r="F467" t="s">
        <v>6522</v>
      </c>
      <c r="G467" t="s">
        <v>74</v>
      </c>
      <c r="H467" t="s">
        <v>74</v>
      </c>
      <c r="I467" t="s">
        <v>6523</v>
      </c>
      <c r="J467" t="s">
        <v>6524</v>
      </c>
      <c r="K467" t="s">
        <v>74</v>
      </c>
      <c r="L467" t="s">
        <v>74</v>
      </c>
      <c r="M467" t="s">
        <v>77</v>
      </c>
      <c r="N467" t="s">
        <v>435</v>
      </c>
      <c r="O467" t="s">
        <v>6525</v>
      </c>
      <c r="P467" t="s">
        <v>6526</v>
      </c>
      <c r="Q467" t="s">
        <v>6527</v>
      </c>
      <c r="R467" t="s">
        <v>74</v>
      </c>
      <c r="S467" t="s">
        <v>74</v>
      </c>
      <c r="T467" t="s">
        <v>6528</v>
      </c>
      <c r="U467" t="s">
        <v>74</v>
      </c>
      <c r="V467" t="s">
        <v>6529</v>
      </c>
      <c r="W467" t="s">
        <v>6530</v>
      </c>
      <c r="X467" t="s">
        <v>6531</v>
      </c>
      <c r="Y467" t="s">
        <v>6532</v>
      </c>
      <c r="Z467" t="s">
        <v>6533</v>
      </c>
      <c r="AA467" t="s">
        <v>6534</v>
      </c>
      <c r="AB467" t="s">
        <v>6535</v>
      </c>
      <c r="AC467" t="s">
        <v>74</v>
      </c>
      <c r="AD467" t="s">
        <v>74</v>
      </c>
      <c r="AE467" t="s">
        <v>74</v>
      </c>
      <c r="AF467" t="s">
        <v>74</v>
      </c>
      <c r="AG467">
        <v>9</v>
      </c>
      <c r="AH467">
        <v>180</v>
      </c>
      <c r="AI467">
        <v>199</v>
      </c>
      <c r="AJ467">
        <v>0</v>
      </c>
      <c r="AK467">
        <v>49</v>
      </c>
      <c r="AL467" t="s">
        <v>79</v>
      </c>
      <c r="AM467" t="s">
        <v>80</v>
      </c>
      <c r="AN467" t="s">
        <v>81</v>
      </c>
      <c r="AO467" t="s">
        <v>6536</v>
      </c>
      <c r="AP467" t="s">
        <v>6537</v>
      </c>
      <c r="AQ467" t="s">
        <v>74</v>
      </c>
      <c r="AR467" t="s">
        <v>6538</v>
      </c>
      <c r="AS467" t="s">
        <v>6539</v>
      </c>
      <c r="AT467" t="s">
        <v>6517</v>
      </c>
      <c r="AU467">
        <v>2001</v>
      </c>
      <c r="AV467">
        <v>56</v>
      </c>
      <c r="AW467">
        <v>6</v>
      </c>
      <c r="AX467" t="s">
        <v>74</v>
      </c>
      <c r="AY467" t="s">
        <v>74</v>
      </c>
      <c r="AZ467" t="s">
        <v>74</v>
      </c>
      <c r="BA467" t="s">
        <v>74</v>
      </c>
      <c r="BB467">
        <v>807</v>
      </c>
      <c r="BC467">
        <v>820</v>
      </c>
      <c r="BD467" t="s">
        <v>74</v>
      </c>
      <c r="BE467" t="s">
        <v>6540</v>
      </c>
      <c r="BF467" t="str">
        <f>HYPERLINK("http://dx.doi.org/10.1016/S0584-8547(01)00211-7","http://dx.doi.org/10.1016/S0584-8547(01)00211-7")</f>
        <v>http://dx.doi.org/10.1016/S0584-8547(01)00211-7</v>
      </c>
      <c r="BG467" t="s">
        <v>74</v>
      </c>
      <c r="BH467" t="s">
        <v>74</v>
      </c>
      <c r="BI467">
        <v>14</v>
      </c>
      <c r="BJ467" t="s">
        <v>5772</v>
      </c>
      <c r="BK467" t="s">
        <v>816</v>
      </c>
      <c r="BL467" t="s">
        <v>5772</v>
      </c>
      <c r="BM467" t="s">
        <v>6541</v>
      </c>
      <c r="BN467" t="s">
        <v>74</v>
      </c>
      <c r="BO467" t="s">
        <v>74</v>
      </c>
      <c r="BP467" t="s">
        <v>74</v>
      </c>
      <c r="BQ467" t="s">
        <v>74</v>
      </c>
      <c r="BR467" t="s">
        <v>91</v>
      </c>
      <c r="BS467" t="s">
        <v>6542</v>
      </c>
      <c r="BT467" t="str">
        <f>HYPERLINK("https%3A%2F%2Fwww.webofscience.com%2Fwos%2Fwoscc%2Ffull-record%2FWOS:000170194300022","View Full Record in Web of Science")</f>
        <v>View Full Record in Web of Science</v>
      </c>
    </row>
    <row r="468" spans="1:72" x14ac:dyDescent="0.15">
      <c r="A468" t="s">
        <v>72</v>
      </c>
      <c r="B468" t="s">
        <v>6543</v>
      </c>
      <c r="C468" t="s">
        <v>74</v>
      </c>
      <c r="D468" t="s">
        <v>74</v>
      </c>
      <c r="E468" t="s">
        <v>74</v>
      </c>
      <c r="F468" t="s">
        <v>6543</v>
      </c>
      <c r="G468" t="s">
        <v>74</v>
      </c>
      <c r="H468" t="s">
        <v>74</v>
      </c>
      <c r="I468" t="s">
        <v>6544</v>
      </c>
      <c r="J468" t="s">
        <v>522</v>
      </c>
      <c r="K468" t="s">
        <v>74</v>
      </c>
      <c r="L468" t="s">
        <v>74</v>
      </c>
      <c r="M468" t="s">
        <v>77</v>
      </c>
      <c r="N468" t="s">
        <v>120</v>
      </c>
      <c r="O468" t="s">
        <v>74</v>
      </c>
      <c r="P468" t="s">
        <v>74</v>
      </c>
      <c r="Q468" t="s">
        <v>74</v>
      </c>
      <c r="R468" t="s">
        <v>74</v>
      </c>
      <c r="S468" t="s">
        <v>74</v>
      </c>
      <c r="T468" t="s">
        <v>74</v>
      </c>
      <c r="U468" t="s">
        <v>6545</v>
      </c>
      <c r="V468" t="s">
        <v>6546</v>
      </c>
      <c r="W468" t="s">
        <v>6547</v>
      </c>
      <c r="X468" t="s">
        <v>6247</v>
      </c>
      <c r="Y468" t="s">
        <v>6548</v>
      </c>
      <c r="Z468" t="s">
        <v>6549</v>
      </c>
      <c r="AA468" t="s">
        <v>6550</v>
      </c>
      <c r="AB468" t="s">
        <v>6551</v>
      </c>
      <c r="AC468" t="s">
        <v>74</v>
      </c>
      <c r="AD468" t="s">
        <v>74</v>
      </c>
      <c r="AE468" t="s">
        <v>74</v>
      </c>
      <c r="AF468" t="s">
        <v>74</v>
      </c>
      <c r="AG468">
        <v>23</v>
      </c>
      <c r="AH468">
        <v>87</v>
      </c>
      <c r="AI468">
        <v>92</v>
      </c>
      <c r="AJ468">
        <v>0</v>
      </c>
      <c r="AK468">
        <v>7</v>
      </c>
      <c r="AL468" t="s">
        <v>149</v>
      </c>
      <c r="AM468" t="s">
        <v>150</v>
      </c>
      <c r="AN468" t="s">
        <v>151</v>
      </c>
      <c r="AO468" t="s">
        <v>531</v>
      </c>
      <c r="AP468" t="s">
        <v>532</v>
      </c>
      <c r="AQ468" t="s">
        <v>74</v>
      </c>
      <c r="AR468" t="s">
        <v>533</v>
      </c>
      <c r="AS468" t="s">
        <v>534</v>
      </c>
      <c r="AT468" t="s">
        <v>6552</v>
      </c>
      <c r="AU468">
        <v>2001</v>
      </c>
      <c r="AV468">
        <v>106</v>
      </c>
      <c r="AW468" t="s">
        <v>6553</v>
      </c>
      <c r="AX468" t="s">
        <v>74</v>
      </c>
      <c r="AY468" t="s">
        <v>74</v>
      </c>
      <c r="AZ468" t="s">
        <v>74</v>
      </c>
      <c r="BA468" t="s">
        <v>74</v>
      </c>
      <c r="BB468">
        <v>12499</v>
      </c>
      <c r="BC468">
        <v>12507</v>
      </c>
      <c r="BD468" t="s">
        <v>74</v>
      </c>
      <c r="BE468" t="s">
        <v>6554</v>
      </c>
      <c r="BF468" t="str">
        <f>HYPERLINK("http://dx.doi.org/10.1029/2001JD900006","http://dx.doi.org/10.1029/2001JD900006")</f>
        <v>http://dx.doi.org/10.1029/2001JD900006</v>
      </c>
      <c r="BG468" t="s">
        <v>74</v>
      </c>
      <c r="BH468" t="s">
        <v>74</v>
      </c>
      <c r="BI468">
        <v>9</v>
      </c>
      <c r="BJ468" t="s">
        <v>538</v>
      </c>
      <c r="BK468" t="s">
        <v>88</v>
      </c>
      <c r="BL468" t="s">
        <v>538</v>
      </c>
      <c r="BM468" t="s">
        <v>6555</v>
      </c>
      <c r="BN468" t="s">
        <v>74</v>
      </c>
      <c r="BO468" t="s">
        <v>74</v>
      </c>
      <c r="BP468" t="s">
        <v>74</v>
      </c>
      <c r="BQ468" t="s">
        <v>74</v>
      </c>
      <c r="BR468" t="s">
        <v>91</v>
      </c>
      <c r="BS468" t="s">
        <v>6556</v>
      </c>
      <c r="BT468" t="str">
        <f>HYPERLINK("https%3A%2F%2Fwww.webofscience.com%2Fwos%2Fwoscc%2Ffull-record%2FWOS:000169559800011","View Full Record in Web of Science")</f>
        <v>View Full Record in Web of Science</v>
      </c>
    </row>
    <row r="469" spans="1:72" x14ac:dyDescent="0.15">
      <c r="A469" t="s">
        <v>72</v>
      </c>
      <c r="B469" t="s">
        <v>6557</v>
      </c>
      <c r="C469" t="s">
        <v>74</v>
      </c>
      <c r="D469" t="s">
        <v>74</v>
      </c>
      <c r="E469" t="s">
        <v>74</v>
      </c>
      <c r="F469" t="s">
        <v>6557</v>
      </c>
      <c r="G469" t="s">
        <v>74</v>
      </c>
      <c r="H469" t="s">
        <v>74</v>
      </c>
      <c r="I469" t="s">
        <v>6558</v>
      </c>
      <c r="J469" t="s">
        <v>522</v>
      </c>
      <c r="K469" t="s">
        <v>74</v>
      </c>
      <c r="L469" t="s">
        <v>74</v>
      </c>
      <c r="M469" t="s">
        <v>77</v>
      </c>
      <c r="N469" t="s">
        <v>120</v>
      </c>
      <c r="O469" t="s">
        <v>74</v>
      </c>
      <c r="P469" t="s">
        <v>74</v>
      </c>
      <c r="Q469" t="s">
        <v>74</v>
      </c>
      <c r="R469" t="s">
        <v>74</v>
      </c>
      <c r="S469" t="s">
        <v>74</v>
      </c>
      <c r="T469" t="s">
        <v>74</v>
      </c>
      <c r="U469" t="s">
        <v>6559</v>
      </c>
      <c r="V469" t="s">
        <v>6560</v>
      </c>
      <c r="W469" t="s">
        <v>6561</v>
      </c>
      <c r="X469" t="s">
        <v>6562</v>
      </c>
      <c r="Y469" t="s">
        <v>6563</v>
      </c>
      <c r="Z469" t="s">
        <v>6564</v>
      </c>
      <c r="AA469" t="s">
        <v>6565</v>
      </c>
      <c r="AB469" t="s">
        <v>6566</v>
      </c>
      <c r="AC469" t="s">
        <v>74</v>
      </c>
      <c r="AD469" t="s">
        <v>74</v>
      </c>
      <c r="AE469" t="s">
        <v>74</v>
      </c>
      <c r="AF469" t="s">
        <v>74</v>
      </c>
      <c r="AG469">
        <v>35</v>
      </c>
      <c r="AH469">
        <v>91</v>
      </c>
      <c r="AI469">
        <v>94</v>
      </c>
      <c r="AJ469">
        <v>0</v>
      </c>
      <c r="AK469">
        <v>10</v>
      </c>
      <c r="AL469" t="s">
        <v>149</v>
      </c>
      <c r="AM469" t="s">
        <v>150</v>
      </c>
      <c r="AN469" t="s">
        <v>151</v>
      </c>
      <c r="AO469" t="s">
        <v>531</v>
      </c>
      <c r="AP469" t="s">
        <v>532</v>
      </c>
      <c r="AQ469" t="s">
        <v>74</v>
      </c>
      <c r="AR469" t="s">
        <v>533</v>
      </c>
      <c r="AS469" t="s">
        <v>534</v>
      </c>
      <c r="AT469" t="s">
        <v>6552</v>
      </c>
      <c r="AU469">
        <v>2001</v>
      </c>
      <c r="AV469">
        <v>106</v>
      </c>
      <c r="AW469" t="s">
        <v>6553</v>
      </c>
      <c r="AX469" t="s">
        <v>74</v>
      </c>
      <c r="AY469" t="s">
        <v>74</v>
      </c>
      <c r="AZ469" t="s">
        <v>74</v>
      </c>
      <c r="BA469" t="s">
        <v>74</v>
      </c>
      <c r="BB469">
        <v>12509</v>
      </c>
      <c r="BC469">
        <v>12525</v>
      </c>
      <c r="BD469" t="s">
        <v>74</v>
      </c>
      <c r="BE469" t="s">
        <v>6567</v>
      </c>
      <c r="BF469" t="str">
        <f>HYPERLINK("http://dx.doi.org/10.1029/2000JD900561","http://dx.doi.org/10.1029/2000JD900561")</f>
        <v>http://dx.doi.org/10.1029/2000JD900561</v>
      </c>
      <c r="BG469" t="s">
        <v>74</v>
      </c>
      <c r="BH469" t="s">
        <v>74</v>
      </c>
      <c r="BI469">
        <v>17</v>
      </c>
      <c r="BJ469" t="s">
        <v>538</v>
      </c>
      <c r="BK469" t="s">
        <v>88</v>
      </c>
      <c r="BL469" t="s">
        <v>538</v>
      </c>
      <c r="BM469" t="s">
        <v>6555</v>
      </c>
      <c r="BN469" t="s">
        <v>74</v>
      </c>
      <c r="BO469" t="s">
        <v>6568</v>
      </c>
      <c r="BP469" t="s">
        <v>74</v>
      </c>
      <c r="BQ469" t="s">
        <v>74</v>
      </c>
      <c r="BR469" t="s">
        <v>91</v>
      </c>
      <c r="BS469" t="s">
        <v>6569</v>
      </c>
      <c r="BT469" t="str">
        <f>HYPERLINK("https%3A%2F%2Fwww.webofscience.com%2Fwos%2Fwoscc%2Ffull-record%2FWOS:000169559800012","View Full Record in Web of Science")</f>
        <v>View Full Record in Web of Science</v>
      </c>
    </row>
    <row r="470" spans="1:72" x14ac:dyDescent="0.15">
      <c r="A470" t="s">
        <v>72</v>
      </c>
      <c r="B470" t="s">
        <v>6570</v>
      </c>
      <c r="C470" t="s">
        <v>74</v>
      </c>
      <c r="D470" t="s">
        <v>74</v>
      </c>
      <c r="E470" t="s">
        <v>74</v>
      </c>
      <c r="F470" t="s">
        <v>6570</v>
      </c>
      <c r="G470" t="s">
        <v>74</v>
      </c>
      <c r="H470" t="s">
        <v>74</v>
      </c>
      <c r="I470" t="s">
        <v>6571</v>
      </c>
      <c r="J470" t="s">
        <v>522</v>
      </c>
      <c r="K470" t="s">
        <v>74</v>
      </c>
      <c r="L470" t="s">
        <v>74</v>
      </c>
      <c r="M470" t="s">
        <v>77</v>
      </c>
      <c r="N470" t="s">
        <v>120</v>
      </c>
      <c r="O470" t="s">
        <v>74</v>
      </c>
      <c r="P470" t="s">
        <v>74</v>
      </c>
      <c r="Q470" t="s">
        <v>74</v>
      </c>
      <c r="R470" t="s">
        <v>74</v>
      </c>
      <c r="S470" t="s">
        <v>74</v>
      </c>
      <c r="T470" t="s">
        <v>74</v>
      </c>
      <c r="U470" t="s">
        <v>6572</v>
      </c>
      <c r="V470" t="s">
        <v>6573</v>
      </c>
      <c r="W470" t="s">
        <v>6574</v>
      </c>
      <c r="X470" t="s">
        <v>6575</v>
      </c>
      <c r="Y470" t="s">
        <v>6576</v>
      </c>
      <c r="Z470" t="s">
        <v>74</v>
      </c>
      <c r="AA470" t="s">
        <v>74</v>
      </c>
      <c r="AB470" t="s">
        <v>74</v>
      </c>
      <c r="AC470" t="s">
        <v>74</v>
      </c>
      <c r="AD470" t="s">
        <v>74</v>
      </c>
      <c r="AE470" t="s">
        <v>74</v>
      </c>
      <c r="AF470" t="s">
        <v>74</v>
      </c>
      <c r="AG470">
        <v>72</v>
      </c>
      <c r="AH470">
        <v>79</v>
      </c>
      <c r="AI470">
        <v>87</v>
      </c>
      <c r="AJ470">
        <v>0</v>
      </c>
      <c r="AK470">
        <v>17</v>
      </c>
      <c r="AL470" t="s">
        <v>149</v>
      </c>
      <c r="AM470" t="s">
        <v>150</v>
      </c>
      <c r="AN470" t="s">
        <v>151</v>
      </c>
      <c r="AO470" t="s">
        <v>4366</v>
      </c>
      <c r="AP470" t="s">
        <v>74</v>
      </c>
      <c r="AQ470" t="s">
        <v>74</v>
      </c>
      <c r="AR470" t="s">
        <v>533</v>
      </c>
      <c r="AS470" t="s">
        <v>534</v>
      </c>
      <c r="AT470" t="s">
        <v>6577</v>
      </c>
      <c r="AU470">
        <v>2001</v>
      </c>
      <c r="AV470">
        <v>106</v>
      </c>
      <c r="AW470" t="s">
        <v>6578</v>
      </c>
      <c r="AX470" t="s">
        <v>74</v>
      </c>
      <c r="AY470" t="s">
        <v>74</v>
      </c>
      <c r="AZ470" t="s">
        <v>74</v>
      </c>
      <c r="BA470" t="s">
        <v>74</v>
      </c>
      <c r="BB470">
        <v>11859</v>
      </c>
      <c r="BC470">
        <v>11874</v>
      </c>
      <c r="BD470" t="s">
        <v>74</v>
      </c>
      <c r="BE470" t="s">
        <v>6579</v>
      </c>
      <c r="BF470" t="str">
        <f>HYPERLINK("http://dx.doi.org/10.1029/2001JD900031","http://dx.doi.org/10.1029/2001JD900031")</f>
        <v>http://dx.doi.org/10.1029/2001JD900031</v>
      </c>
      <c r="BG470" t="s">
        <v>74</v>
      </c>
      <c r="BH470" t="s">
        <v>74</v>
      </c>
      <c r="BI470">
        <v>16</v>
      </c>
      <c r="BJ470" t="s">
        <v>538</v>
      </c>
      <c r="BK470" t="s">
        <v>88</v>
      </c>
      <c r="BL470" t="s">
        <v>538</v>
      </c>
      <c r="BM470" t="s">
        <v>6580</v>
      </c>
      <c r="BN470" t="s">
        <v>74</v>
      </c>
      <c r="BO470" t="s">
        <v>171</v>
      </c>
      <c r="BP470" t="s">
        <v>74</v>
      </c>
      <c r="BQ470" t="s">
        <v>74</v>
      </c>
      <c r="BR470" t="s">
        <v>91</v>
      </c>
      <c r="BS470" t="s">
        <v>6581</v>
      </c>
      <c r="BT470" t="str">
        <f>HYPERLINK("https%3A%2F%2Fwww.webofscience.com%2Fwos%2Fwoscc%2Ffull-record%2FWOS:000169300200011","View Full Record in Web of Science")</f>
        <v>View Full Record in Web of Science</v>
      </c>
    </row>
    <row r="471" spans="1:72" x14ac:dyDescent="0.15">
      <c r="A471" t="s">
        <v>72</v>
      </c>
      <c r="B471" t="s">
        <v>6582</v>
      </c>
      <c r="C471" t="s">
        <v>74</v>
      </c>
      <c r="D471" t="s">
        <v>74</v>
      </c>
      <c r="E471" t="s">
        <v>74</v>
      </c>
      <c r="F471" t="s">
        <v>6582</v>
      </c>
      <c r="G471" t="s">
        <v>74</v>
      </c>
      <c r="H471" t="s">
        <v>74</v>
      </c>
      <c r="I471" t="s">
        <v>6583</v>
      </c>
      <c r="J471" t="s">
        <v>522</v>
      </c>
      <c r="K471" t="s">
        <v>74</v>
      </c>
      <c r="L471" t="s">
        <v>74</v>
      </c>
      <c r="M471" t="s">
        <v>77</v>
      </c>
      <c r="N471" t="s">
        <v>120</v>
      </c>
      <c r="O471" t="s">
        <v>74</v>
      </c>
      <c r="P471" t="s">
        <v>74</v>
      </c>
      <c r="Q471" t="s">
        <v>74</v>
      </c>
      <c r="R471" t="s">
        <v>74</v>
      </c>
      <c r="S471" t="s">
        <v>74</v>
      </c>
      <c r="T471" t="s">
        <v>74</v>
      </c>
      <c r="U471" t="s">
        <v>6584</v>
      </c>
      <c r="V471" t="s">
        <v>6585</v>
      </c>
      <c r="W471" t="s">
        <v>6586</v>
      </c>
      <c r="X471" t="s">
        <v>6587</v>
      </c>
      <c r="Y471" t="s">
        <v>6588</v>
      </c>
      <c r="Z471" t="s">
        <v>6589</v>
      </c>
      <c r="AA471" t="s">
        <v>74</v>
      </c>
      <c r="AB471" t="s">
        <v>6590</v>
      </c>
      <c r="AC471" t="s">
        <v>74</v>
      </c>
      <c r="AD471" t="s">
        <v>74</v>
      </c>
      <c r="AE471" t="s">
        <v>74</v>
      </c>
      <c r="AF471" t="s">
        <v>74</v>
      </c>
      <c r="AG471">
        <v>50</v>
      </c>
      <c r="AH471">
        <v>7</v>
      </c>
      <c r="AI471">
        <v>9</v>
      </c>
      <c r="AJ471">
        <v>0</v>
      </c>
      <c r="AK471">
        <v>13</v>
      </c>
      <c r="AL471" t="s">
        <v>149</v>
      </c>
      <c r="AM471" t="s">
        <v>150</v>
      </c>
      <c r="AN471" t="s">
        <v>151</v>
      </c>
      <c r="AO471" t="s">
        <v>531</v>
      </c>
      <c r="AP471" t="s">
        <v>532</v>
      </c>
      <c r="AQ471" t="s">
        <v>74</v>
      </c>
      <c r="AR471" t="s">
        <v>533</v>
      </c>
      <c r="AS471" t="s">
        <v>534</v>
      </c>
      <c r="AT471" t="s">
        <v>6577</v>
      </c>
      <c r="AU471">
        <v>2001</v>
      </c>
      <c r="AV471">
        <v>106</v>
      </c>
      <c r="AW471" t="s">
        <v>6578</v>
      </c>
      <c r="AX471" t="s">
        <v>74</v>
      </c>
      <c r="AY471" t="s">
        <v>74</v>
      </c>
      <c r="AZ471" t="s">
        <v>74</v>
      </c>
      <c r="BA471" t="s">
        <v>74</v>
      </c>
      <c r="BB471">
        <v>12267</v>
      </c>
      <c r="BC471">
        <v>12274</v>
      </c>
      <c r="BD471" t="s">
        <v>74</v>
      </c>
      <c r="BE471" t="s">
        <v>6591</v>
      </c>
      <c r="BF471" t="str">
        <f>HYPERLINK("http://dx.doi.org/10.1029/2000JD900689","http://dx.doi.org/10.1029/2000JD900689")</f>
        <v>http://dx.doi.org/10.1029/2000JD900689</v>
      </c>
      <c r="BG471" t="s">
        <v>74</v>
      </c>
      <c r="BH471" t="s">
        <v>74</v>
      </c>
      <c r="BI471">
        <v>8</v>
      </c>
      <c r="BJ471" t="s">
        <v>538</v>
      </c>
      <c r="BK471" t="s">
        <v>88</v>
      </c>
      <c r="BL471" t="s">
        <v>538</v>
      </c>
      <c r="BM471" t="s">
        <v>6580</v>
      </c>
      <c r="BN471" t="s">
        <v>74</v>
      </c>
      <c r="BO471" t="s">
        <v>74</v>
      </c>
      <c r="BP471" t="s">
        <v>74</v>
      </c>
      <c r="BQ471" t="s">
        <v>74</v>
      </c>
      <c r="BR471" t="s">
        <v>91</v>
      </c>
      <c r="BS471" t="s">
        <v>6592</v>
      </c>
      <c r="BT471" t="str">
        <f>HYPERLINK("https%3A%2F%2Fwww.webofscience.com%2Fwos%2Fwoscc%2Ffull-record%2FWOS:000169300200041","View Full Record in Web of Science")</f>
        <v>View Full Record in Web of Science</v>
      </c>
    </row>
    <row r="472" spans="1:72" x14ac:dyDescent="0.15">
      <c r="A472" t="s">
        <v>72</v>
      </c>
      <c r="B472" t="s">
        <v>6593</v>
      </c>
      <c r="C472" t="s">
        <v>74</v>
      </c>
      <c r="D472" t="s">
        <v>74</v>
      </c>
      <c r="E472" t="s">
        <v>74</v>
      </c>
      <c r="F472" t="s">
        <v>6593</v>
      </c>
      <c r="G472" t="s">
        <v>74</v>
      </c>
      <c r="H472" t="s">
        <v>74</v>
      </c>
      <c r="I472" t="s">
        <v>6594</v>
      </c>
      <c r="J472" t="s">
        <v>1952</v>
      </c>
      <c r="K472" t="s">
        <v>74</v>
      </c>
      <c r="L472" t="s">
        <v>74</v>
      </c>
      <c r="M472" t="s">
        <v>77</v>
      </c>
      <c r="N472" t="s">
        <v>120</v>
      </c>
      <c r="O472" t="s">
        <v>74</v>
      </c>
      <c r="P472" t="s">
        <v>74</v>
      </c>
      <c r="Q472" t="s">
        <v>74</v>
      </c>
      <c r="R472" t="s">
        <v>74</v>
      </c>
      <c r="S472" t="s">
        <v>74</v>
      </c>
      <c r="T472" t="s">
        <v>74</v>
      </c>
      <c r="U472" t="s">
        <v>6595</v>
      </c>
      <c r="V472" t="s">
        <v>6596</v>
      </c>
      <c r="W472" t="s">
        <v>6597</v>
      </c>
      <c r="X472" t="s">
        <v>6598</v>
      </c>
      <c r="Y472" t="s">
        <v>6599</v>
      </c>
      <c r="Z472" t="s">
        <v>6600</v>
      </c>
      <c r="AA472" t="s">
        <v>74</v>
      </c>
      <c r="AB472" t="s">
        <v>74</v>
      </c>
      <c r="AC472" t="s">
        <v>74</v>
      </c>
      <c r="AD472" t="s">
        <v>74</v>
      </c>
      <c r="AE472" t="s">
        <v>74</v>
      </c>
      <c r="AF472" t="s">
        <v>74</v>
      </c>
      <c r="AG472">
        <v>11</v>
      </c>
      <c r="AH472">
        <v>4</v>
      </c>
      <c r="AI472">
        <v>5</v>
      </c>
      <c r="AJ472">
        <v>0</v>
      </c>
      <c r="AK472">
        <v>8</v>
      </c>
      <c r="AL472" t="s">
        <v>508</v>
      </c>
      <c r="AM472" t="s">
        <v>150</v>
      </c>
      <c r="AN472" t="s">
        <v>509</v>
      </c>
      <c r="AO472" t="s">
        <v>1960</v>
      </c>
      <c r="AP472" t="s">
        <v>6601</v>
      </c>
      <c r="AQ472" t="s">
        <v>74</v>
      </c>
      <c r="AR472" t="s">
        <v>1961</v>
      </c>
      <c r="AS472" t="s">
        <v>1962</v>
      </c>
      <c r="AT472" t="s">
        <v>6602</v>
      </c>
      <c r="AU472">
        <v>2001</v>
      </c>
      <c r="AV472">
        <v>35</v>
      </c>
      <c r="AW472">
        <v>12</v>
      </c>
      <c r="AX472" t="s">
        <v>74</v>
      </c>
      <c r="AY472" t="s">
        <v>74</v>
      </c>
      <c r="AZ472" t="s">
        <v>74</v>
      </c>
      <c r="BA472" t="s">
        <v>74</v>
      </c>
      <c r="BB472">
        <v>2436</v>
      </c>
      <c r="BC472">
        <v>2440</v>
      </c>
      <c r="BD472" t="s">
        <v>74</v>
      </c>
      <c r="BE472" t="s">
        <v>6603</v>
      </c>
      <c r="BF472" t="str">
        <f>HYPERLINK("http://dx.doi.org/10.1021/es001268t","http://dx.doi.org/10.1021/es001268t")</f>
        <v>http://dx.doi.org/10.1021/es001268t</v>
      </c>
      <c r="BG472" t="s">
        <v>74</v>
      </c>
      <c r="BH472" t="s">
        <v>74</v>
      </c>
      <c r="BI472">
        <v>5</v>
      </c>
      <c r="BJ472" t="s">
        <v>135</v>
      </c>
      <c r="BK472" t="s">
        <v>88</v>
      </c>
      <c r="BL472" t="s">
        <v>136</v>
      </c>
      <c r="BM472" t="s">
        <v>6604</v>
      </c>
      <c r="BN472">
        <v>11432545</v>
      </c>
      <c r="BO472" t="s">
        <v>74</v>
      </c>
      <c r="BP472" t="s">
        <v>74</v>
      </c>
      <c r="BQ472" t="s">
        <v>74</v>
      </c>
      <c r="BR472" t="s">
        <v>91</v>
      </c>
      <c r="BS472" t="s">
        <v>6605</v>
      </c>
      <c r="BT472" t="str">
        <f>HYPERLINK("https%3A%2F%2Fwww.webofscience.com%2Fwos%2Fwoscc%2Ffull-record%2FWOS:000169343700006","View Full Record in Web of Science")</f>
        <v>View Full Record in Web of Science</v>
      </c>
    </row>
    <row r="473" spans="1:72" x14ac:dyDescent="0.15">
      <c r="A473" t="s">
        <v>72</v>
      </c>
      <c r="B473" t="s">
        <v>6606</v>
      </c>
      <c r="C473" t="s">
        <v>74</v>
      </c>
      <c r="D473" t="s">
        <v>74</v>
      </c>
      <c r="E473" t="s">
        <v>74</v>
      </c>
      <c r="F473" t="s">
        <v>6606</v>
      </c>
      <c r="G473" t="s">
        <v>74</v>
      </c>
      <c r="H473" t="s">
        <v>74</v>
      </c>
      <c r="I473" t="s">
        <v>6607</v>
      </c>
      <c r="J473" t="s">
        <v>613</v>
      </c>
      <c r="K473" t="s">
        <v>74</v>
      </c>
      <c r="L473" t="s">
        <v>74</v>
      </c>
      <c r="M473" t="s">
        <v>77</v>
      </c>
      <c r="N473" t="s">
        <v>120</v>
      </c>
      <c r="O473" t="s">
        <v>74</v>
      </c>
      <c r="P473" t="s">
        <v>74</v>
      </c>
      <c r="Q473" t="s">
        <v>74</v>
      </c>
      <c r="R473" t="s">
        <v>74</v>
      </c>
      <c r="S473" t="s">
        <v>74</v>
      </c>
      <c r="T473" t="s">
        <v>74</v>
      </c>
      <c r="U473" t="s">
        <v>6608</v>
      </c>
      <c r="V473" t="s">
        <v>6609</v>
      </c>
      <c r="W473" t="s">
        <v>6610</v>
      </c>
      <c r="X473" t="s">
        <v>6611</v>
      </c>
      <c r="Y473" t="s">
        <v>6612</v>
      </c>
      <c r="Z473" t="s">
        <v>6613</v>
      </c>
      <c r="AA473" t="s">
        <v>6614</v>
      </c>
      <c r="AB473" t="s">
        <v>6615</v>
      </c>
      <c r="AC473" t="s">
        <v>74</v>
      </c>
      <c r="AD473" t="s">
        <v>74</v>
      </c>
      <c r="AE473" t="s">
        <v>74</v>
      </c>
      <c r="AF473" t="s">
        <v>74</v>
      </c>
      <c r="AG473">
        <v>37</v>
      </c>
      <c r="AH473">
        <v>33</v>
      </c>
      <c r="AI473">
        <v>33</v>
      </c>
      <c r="AJ473">
        <v>2</v>
      </c>
      <c r="AK473">
        <v>14</v>
      </c>
      <c r="AL473" t="s">
        <v>149</v>
      </c>
      <c r="AM473" t="s">
        <v>150</v>
      </c>
      <c r="AN473" t="s">
        <v>151</v>
      </c>
      <c r="AO473" t="s">
        <v>619</v>
      </c>
      <c r="AP473" t="s">
        <v>1094</v>
      </c>
      <c r="AQ473" t="s">
        <v>74</v>
      </c>
      <c r="AR473" t="s">
        <v>620</v>
      </c>
      <c r="AS473" t="s">
        <v>621</v>
      </c>
      <c r="AT473" t="s">
        <v>6602</v>
      </c>
      <c r="AU473">
        <v>2001</v>
      </c>
      <c r="AV473">
        <v>28</v>
      </c>
      <c r="AW473">
        <v>12</v>
      </c>
      <c r="AX473" t="s">
        <v>74</v>
      </c>
      <c r="AY473" t="s">
        <v>74</v>
      </c>
      <c r="AZ473" t="s">
        <v>74</v>
      </c>
      <c r="BA473" t="s">
        <v>74</v>
      </c>
      <c r="BB473">
        <v>2409</v>
      </c>
      <c r="BC473">
        <v>2412</v>
      </c>
      <c r="BD473" t="s">
        <v>74</v>
      </c>
      <c r="BE473" t="s">
        <v>6616</v>
      </c>
      <c r="BF473" t="str">
        <f>HYPERLINK("http://dx.doi.org/10.1029/2001GL013008","http://dx.doi.org/10.1029/2001GL013008")</f>
        <v>http://dx.doi.org/10.1029/2001GL013008</v>
      </c>
      <c r="BG473" t="s">
        <v>74</v>
      </c>
      <c r="BH473" t="s">
        <v>74</v>
      </c>
      <c r="BI473">
        <v>4</v>
      </c>
      <c r="BJ473" t="s">
        <v>300</v>
      </c>
      <c r="BK473" t="s">
        <v>88</v>
      </c>
      <c r="BL473" t="s">
        <v>113</v>
      </c>
      <c r="BM473" t="s">
        <v>6617</v>
      </c>
      <c r="BN473" t="s">
        <v>74</v>
      </c>
      <c r="BO473" t="s">
        <v>171</v>
      </c>
      <c r="BP473" t="s">
        <v>74</v>
      </c>
      <c r="BQ473" t="s">
        <v>74</v>
      </c>
      <c r="BR473" t="s">
        <v>91</v>
      </c>
      <c r="BS473" t="s">
        <v>6618</v>
      </c>
      <c r="BT473" t="str">
        <f>HYPERLINK("https%3A%2F%2Fwww.webofscience.com%2Fwos%2Fwoscc%2Ffull-record%2FWOS:000171008500030","View Full Record in Web of Science")</f>
        <v>View Full Record in Web of Science</v>
      </c>
    </row>
    <row r="474" spans="1:72" x14ac:dyDescent="0.15">
      <c r="A474" t="s">
        <v>72</v>
      </c>
      <c r="B474" t="s">
        <v>6619</v>
      </c>
      <c r="C474" t="s">
        <v>74</v>
      </c>
      <c r="D474" t="s">
        <v>74</v>
      </c>
      <c r="E474" t="s">
        <v>74</v>
      </c>
      <c r="F474" t="s">
        <v>6619</v>
      </c>
      <c r="G474" t="s">
        <v>74</v>
      </c>
      <c r="H474" t="s">
        <v>74</v>
      </c>
      <c r="I474" t="s">
        <v>6620</v>
      </c>
      <c r="J474" t="s">
        <v>613</v>
      </c>
      <c r="K474" t="s">
        <v>74</v>
      </c>
      <c r="L474" t="s">
        <v>74</v>
      </c>
      <c r="M474" t="s">
        <v>77</v>
      </c>
      <c r="N474" t="s">
        <v>120</v>
      </c>
      <c r="O474" t="s">
        <v>74</v>
      </c>
      <c r="P474" t="s">
        <v>74</v>
      </c>
      <c r="Q474" t="s">
        <v>74</v>
      </c>
      <c r="R474" t="s">
        <v>74</v>
      </c>
      <c r="S474" t="s">
        <v>74</v>
      </c>
      <c r="T474" t="s">
        <v>74</v>
      </c>
      <c r="U474" t="s">
        <v>6621</v>
      </c>
      <c r="V474" t="s">
        <v>6622</v>
      </c>
      <c r="W474" t="s">
        <v>5001</v>
      </c>
      <c r="X474" t="s">
        <v>462</v>
      </c>
      <c r="Y474" t="s">
        <v>6623</v>
      </c>
      <c r="Z474" t="s">
        <v>6624</v>
      </c>
      <c r="AA474" t="s">
        <v>6625</v>
      </c>
      <c r="AB474" t="s">
        <v>6626</v>
      </c>
      <c r="AC474" t="s">
        <v>74</v>
      </c>
      <c r="AD474" t="s">
        <v>74</v>
      </c>
      <c r="AE474" t="s">
        <v>74</v>
      </c>
      <c r="AF474" t="s">
        <v>74</v>
      </c>
      <c r="AG474">
        <v>23</v>
      </c>
      <c r="AH474">
        <v>5</v>
      </c>
      <c r="AI474">
        <v>5</v>
      </c>
      <c r="AJ474">
        <v>0</v>
      </c>
      <c r="AK474">
        <v>5</v>
      </c>
      <c r="AL474" t="s">
        <v>149</v>
      </c>
      <c r="AM474" t="s">
        <v>150</v>
      </c>
      <c r="AN474" t="s">
        <v>151</v>
      </c>
      <c r="AO474" t="s">
        <v>619</v>
      </c>
      <c r="AP474" t="s">
        <v>1094</v>
      </c>
      <c r="AQ474" t="s">
        <v>74</v>
      </c>
      <c r="AR474" t="s">
        <v>620</v>
      </c>
      <c r="AS474" t="s">
        <v>621</v>
      </c>
      <c r="AT474" t="s">
        <v>6602</v>
      </c>
      <c r="AU474">
        <v>2001</v>
      </c>
      <c r="AV474">
        <v>28</v>
      </c>
      <c r="AW474">
        <v>12</v>
      </c>
      <c r="AX474" t="s">
        <v>74</v>
      </c>
      <c r="AY474" t="s">
        <v>74</v>
      </c>
      <c r="AZ474" t="s">
        <v>74</v>
      </c>
      <c r="BA474" t="s">
        <v>74</v>
      </c>
      <c r="BB474">
        <v>2477</v>
      </c>
      <c r="BC474">
        <v>2480</v>
      </c>
      <c r="BD474" t="s">
        <v>74</v>
      </c>
      <c r="BE474" t="s">
        <v>6627</v>
      </c>
      <c r="BF474" t="str">
        <f>HYPERLINK("http://dx.doi.org/10.1029/2000GL012697","http://dx.doi.org/10.1029/2000GL012697")</f>
        <v>http://dx.doi.org/10.1029/2000GL012697</v>
      </c>
      <c r="BG474" t="s">
        <v>74</v>
      </c>
      <c r="BH474" t="s">
        <v>74</v>
      </c>
      <c r="BI474">
        <v>4</v>
      </c>
      <c r="BJ474" t="s">
        <v>300</v>
      </c>
      <c r="BK474" t="s">
        <v>88</v>
      </c>
      <c r="BL474" t="s">
        <v>113</v>
      </c>
      <c r="BM474" t="s">
        <v>6617</v>
      </c>
      <c r="BN474" t="s">
        <v>74</v>
      </c>
      <c r="BO474" t="s">
        <v>5066</v>
      </c>
      <c r="BP474" t="s">
        <v>74</v>
      </c>
      <c r="BQ474" t="s">
        <v>74</v>
      </c>
      <c r="BR474" t="s">
        <v>91</v>
      </c>
      <c r="BS474" t="s">
        <v>6628</v>
      </c>
      <c r="BT474" t="str">
        <f>HYPERLINK("https%3A%2F%2Fwww.webofscience.com%2Fwos%2Fwoscc%2Ffull-record%2FWOS:000171008500048","View Full Record in Web of Science")</f>
        <v>View Full Record in Web of Science</v>
      </c>
    </row>
    <row r="475" spans="1:72" x14ac:dyDescent="0.15">
      <c r="A475" t="s">
        <v>72</v>
      </c>
      <c r="B475" t="s">
        <v>6629</v>
      </c>
      <c r="C475" t="s">
        <v>74</v>
      </c>
      <c r="D475" t="s">
        <v>74</v>
      </c>
      <c r="E475" t="s">
        <v>74</v>
      </c>
      <c r="F475" t="s">
        <v>6629</v>
      </c>
      <c r="G475" t="s">
        <v>74</v>
      </c>
      <c r="H475" t="s">
        <v>74</v>
      </c>
      <c r="I475" t="s">
        <v>6630</v>
      </c>
      <c r="J475" t="s">
        <v>638</v>
      </c>
      <c r="K475" t="s">
        <v>74</v>
      </c>
      <c r="L475" t="s">
        <v>74</v>
      </c>
      <c r="M475" t="s">
        <v>77</v>
      </c>
      <c r="N475" t="s">
        <v>120</v>
      </c>
      <c r="O475" t="s">
        <v>74</v>
      </c>
      <c r="P475" t="s">
        <v>74</v>
      </c>
      <c r="Q475" t="s">
        <v>74</v>
      </c>
      <c r="R475" t="s">
        <v>74</v>
      </c>
      <c r="S475" t="s">
        <v>74</v>
      </c>
      <c r="T475" t="s">
        <v>6631</v>
      </c>
      <c r="U475" t="s">
        <v>6632</v>
      </c>
      <c r="V475" t="s">
        <v>6633</v>
      </c>
      <c r="W475" t="s">
        <v>6634</v>
      </c>
      <c r="X475" t="s">
        <v>6635</v>
      </c>
      <c r="Y475" t="s">
        <v>6636</v>
      </c>
      <c r="Z475" t="s">
        <v>74</v>
      </c>
      <c r="AA475" t="s">
        <v>74</v>
      </c>
      <c r="AB475" t="s">
        <v>6637</v>
      </c>
      <c r="AC475" t="s">
        <v>74</v>
      </c>
      <c r="AD475" t="s">
        <v>74</v>
      </c>
      <c r="AE475" t="s">
        <v>74</v>
      </c>
      <c r="AF475" t="s">
        <v>74</v>
      </c>
      <c r="AG475">
        <v>30</v>
      </c>
      <c r="AH475">
        <v>33</v>
      </c>
      <c r="AI475">
        <v>36</v>
      </c>
      <c r="AJ475">
        <v>0</v>
      </c>
      <c r="AK475">
        <v>14</v>
      </c>
      <c r="AL475" t="s">
        <v>488</v>
      </c>
      <c r="AM475" t="s">
        <v>350</v>
      </c>
      <c r="AN475" t="s">
        <v>489</v>
      </c>
      <c r="AO475" t="s">
        <v>646</v>
      </c>
      <c r="AP475" t="s">
        <v>74</v>
      </c>
      <c r="AQ475" t="s">
        <v>74</v>
      </c>
      <c r="AR475" t="s">
        <v>648</v>
      </c>
      <c r="AS475" t="s">
        <v>649</v>
      </c>
      <c r="AT475" t="s">
        <v>6602</v>
      </c>
      <c r="AU475">
        <v>2001</v>
      </c>
      <c r="AV475">
        <v>261</v>
      </c>
      <c r="AW475">
        <v>1</v>
      </c>
      <c r="AX475" t="s">
        <v>74</v>
      </c>
      <c r="AY475" t="s">
        <v>74</v>
      </c>
      <c r="AZ475" t="s">
        <v>74</v>
      </c>
      <c r="BA475" t="s">
        <v>74</v>
      </c>
      <c r="BB475">
        <v>93</v>
      </c>
      <c r="BC475">
        <v>106</v>
      </c>
      <c r="BD475" t="s">
        <v>74</v>
      </c>
      <c r="BE475" t="s">
        <v>6638</v>
      </c>
      <c r="BF475" t="str">
        <f>HYPERLINK("http://dx.doi.org/10.1016/S0022-0981(01)00265-9","http://dx.doi.org/10.1016/S0022-0981(01)00265-9")</f>
        <v>http://dx.doi.org/10.1016/S0022-0981(01)00265-9</v>
      </c>
      <c r="BG475" t="s">
        <v>74</v>
      </c>
      <c r="BH475" t="s">
        <v>74</v>
      </c>
      <c r="BI475">
        <v>14</v>
      </c>
      <c r="BJ475" t="s">
        <v>429</v>
      </c>
      <c r="BK475" t="s">
        <v>88</v>
      </c>
      <c r="BL475" t="s">
        <v>89</v>
      </c>
      <c r="BM475" t="s">
        <v>6639</v>
      </c>
      <c r="BN475">
        <v>11438107</v>
      </c>
      <c r="BO475" t="s">
        <v>74</v>
      </c>
      <c r="BP475" t="s">
        <v>74</v>
      </c>
      <c r="BQ475" t="s">
        <v>74</v>
      </c>
      <c r="BR475" t="s">
        <v>91</v>
      </c>
      <c r="BS475" t="s">
        <v>6640</v>
      </c>
      <c r="BT475" t="str">
        <f>HYPERLINK("https%3A%2F%2Fwww.webofscience.com%2Fwos%2Fwoscc%2Ffull-record%2FWOS:000169248500006","View Full Record in Web of Science")</f>
        <v>View Full Record in Web of Science</v>
      </c>
    </row>
    <row r="476" spans="1:72" x14ac:dyDescent="0.15">
      <c r="A476" t="s">
        <v>72</v>
      </c>
      <c r="B476" t="s">
        <v>6641</v>
      </c>
      <c r="C476" t="s">
        <v>74</v>
      </c>
      <c r="D476" t="s">
        <v>74</v>
      </c>
      <c r="E476" t="s">
        <v>74</v>
      </c>
      <c r="F476" t="s">
        <v>6641</v>
      </c>
      <c r="G476" t="s">
        <v>74</v>
      </c>
      <c r="H476" t="s">
        <v>74</v>
      </c>
      <c r="I476" t="s">
        <v>6642</v>
      </c>
      <c r="J476" t="s">
        <v>655</v>
      </c>
      <c r="K476" t="s">
        <v>74</v>
      </c>
      <c r="L476" t="s">
        <v>74</v>
      </c>
      <c r="M476" t="s">
        <v>77</v>
      </c>
      <c r="N476" t="s">
        <v>120</v>
      </c>
      <c r="O476" t="s">
        <v>74</v>
      </c>
      <c r="P476" t="s">
        <v>74</v>
      </c>
      <c r="Q476" t="s">
        <v>74</v>
      </c>
      <c r="R476" t="s">
        <v>74</v>
      </c>
      <c r="S476" t="s">
        <v>74</v>
      </c>
      <c r="T476" t="s">
        <v>74</v>
      </c>
      <c r="U476" t="s">
        <v>6643</v>
      </c>
      <c r="V476" t="s">
        <v>6644</v>
      </c>
      <c r="W476" t="s">
        <v>6645</v>
      </c>
      <c r="X476" t="s">
        <v>6646</v>
      </c>
      <c r="Y476" t="s">
        <v>6647</v>
      </c>
      <c r="Z476" t="s">
        <v>6648</v>
      </c>
      <c r="AA476" t="s">
        <v>6649</v>
      </c>
      <c r="AB476" t="s">
        <v>6650</v>
      </c>
      <c r="AC476" t="s">
        <v>74</v>
      </c>
      <c r="AD476" t="s">
        <v>74</v>
      </c>
      <c r="AE476" t="s">
        <v>74</v>
      </c>
      <c r="AF476" t="s">
        <v>74</v>
      </c>
      <c r="AG476">
        <v>26</v>
      </c>
      <c r="AH476">
        <v>58</v>
      </c>
      <c r="AI476">
        <v>61</v>
      </c>
      <c r="AJ476">
        <v>0</v>
      </c>
      <c r="AK476">
        <v>8</v>
      </c>
      <c r="AL476" t="s">
        <v>149</v>
      </c>
      <c r="AM476" t="s">
        <v>150</v>
      </c>
      <c r="AN476" t="s">
        <v>151</v>
      </c>
      <c r="AO476" t="s">
        <v>662</v>
      </c>
      <c r="AP476" t="s">
        <v>663</v>
      </c>
      <c r="AQ476" t="s">
        <v>74</v>
      </c>
      <c r="AR476" t="s">
        <v>664</v>
      </c>
      <c r="AS476" t="s">
        <v>665</v>
      </c>
      <c r="AT476" t="s">
        <v>6602</v>
      </c>
      <c r="AU476">
        <v>2001</v>
      </c>
      <c r="AV476">
        <v>106</v>
      </c>
      <c r="AW476" t="s">
        <v>6651</v>
      </c>
      <c r="AX476" t="s">
        <v>74</v>
      </c>
      <c r="AY476" t="s">
        <v>74</v>
      </c>
      <c r="AZ476" t="s">
        <v>74</v>
      </c>
      <c r="BA476" t="s">
        <v>74</v>
      </c>
      <c r="BB476">
        <v>11481</v>
      </c>
      <c r="BC476">
        <v>11492</v>
      </c>
      <c r="BD476" t="s">
        <v>74</v>
      </c>
      <c r="BE476" t="s">
        <v>6652</v>
      </c>
      <c r="BF476" t="str">
        <f>HYPERLINK("http://dx.doi.org/10.1029/2000JC000350","http://dx.doi.org/10.1029/2000JC000350")</f>
        <v>http://dx.doi.org/10.1029/2000JC000350</v>
      </c>
      <c r="BG476" t="s">
        <v>74</v>
      </c>
      <c r="BH476" t="s">
        <v>74</v>
      </c>
      <c r="BI476">
        <v>12</v>
      </c>
      <c r="BJ476" t="s">
        <v>668</v>
      </c>
      <c r="BK476" t="s">
        <v>88</v>
      </c>
      <c r="BL476" t="s">
        <v>668</v>
      </c>
      <c r="BM476" t="s">
        <v>6653</v>
      </c>
      <c r="BN476" t="s">
        <v>74</v>
      </c>
      <c r="BO476" t="s">
        <v>171</v>
      </c>
      <c r="BP476" t="s">
        <v>74</v>
      </c>
      <c r="BQ476" t="s">
        <v>74</v>
      </c>
      <c r="BR476" t="s">
        <v>91</v>
      </c>
      <c r="BS476" t="s">
        <v>6654</v>
      </c>
      <c r="BT476" t="str">
        <f>HYPERLINK("https%3A%2F%2Fwww.webofscience.com%2Fwos%2Fwoscc%2Ffull-record%2FWOS:000169301700007","View Full Record in Web of Science")</f>
        <v>View Full Record in Web of Science</v>
      </c>
    </row>
    <row r="477" spans="1:72" x14ac:dyDescent="0.15">
      <c r="A477" t="s">
        <v>72</v>
      </c>
      <c r="B477" t="s">
        <v>6655</v>
      </c>
      <c r="C477" t="s">
        <v>74</v>
      </c>
      <c r="D477" t="s">
        <v>74</v>
      </c>
      <c r="E477" t="s">
        <v>74</v>
      </c>
      <c r="F477" t="s">
        <v>6655</v>
      </c>
      <c r="G477" t="s">
        <v>74</v>
      </c>
      <c r="H477" t="s">
        <v>74</v>
      </c>
      <c r="I477" t="s">
        <v>6656</v>
      </c>
      <c r="J477" t="s">
        <v>4573</v>
      </c>
      <c r="K477" t="s">
        <v>74</v>
      </c>
      <c r="L477" t="s">
        <v>74</v>
      </c>
      <c r="M477" t="s">
        <v>77</v>
      </c>
      <c r="N477" t="s">
        <v>120</v>
      </c>
      <c r="O477" t="s">
        <v>74</v>
      </c>
      <c r="P477" t="s">
        <v>74</v>
      </c>
      <c r="Q477" t="s">
        <v>74</v>
      </c>
      <c r="R477" t="s">
        <v>74</v>
      </c>
      <c r="S477" t="s">
        <v>74</v>
      </c>
      <c r="T477" t="s">
        <v>74</v>
      </c>
      <c r="U477" t="s">
        <v>6657</v>
      </c>
      <c r="V477" t="s">
        <v>6658</v>
      </c>
      <c r="W477" t="s">
        <v>6659</v>
      </c>
      <c r="X477" t="s">
        <v>6660</v>
      </c>
      <c r="Y477" t="s">
        <v>6661</v>
      </c>
      <c r="Z477" t="s">
        <v>74</v>
      </c>
      <c r="AA477" t="s">
        <v>6662</v>
      </c>
      <c r="AB477" t="s">
        <v>74</v>
      </c>
      <c r="AC477" t="s">
        <v>74</v>
      </c>
      <c r="AD477" t="s">
        <v>74</v>
      </c>
      <c r="AE477" t="s">
        <v>74</v>
      </c>
      <c r="AF477" t="s">
        <v>74</v>
      </c>
      <c r="AG477">
        <v>74</v>
      </c>
      <c r="AH477">
        <v>28</v>
      </c>
      <c r="AI477">
        <v>28</v>
      </c>
      <c r="AJ477">
        <v>0</v>
      </c>
      <c r="AK477">
        <v>9</v>
      </c>
      <c r="AL477" t="s">
        <v>149</v>
      </c>
      <c r="AM477" t="s">
        <v>150</v>
      </c>
      <c r="AN477" t="s">
        <v>151</v>
      </c>
      <c r="AO477" t="s">
        <v>4582</v>
      </c>
      <c r="AP477" t="s">
        <v>4583</v>
      </c>
      <c r="AQ477" t="s">
        <v>74</v>
      </c>
      <c r="AR477" t="s">
        <v>4584</v>
      </c>
      <c r="AS477" t="s">
        <v>4585</v>
      </c>
      <c r="AT477" t="s">
        <v>6663</v>
      </c>
      <c r="AU477">
        <v>2001</v>
      </c>
      <c r="AV477">
        <v>106</v>
      </c>
      <c r="AW477" t="s">
        <v>6664</v>
      </c>
      <c r="AX477" t="s">
        <v>74</v>
      </c>
      <c r="AY477" t="s">
        <v>74</v>
      </c>
      <c r="AZ477" t="s">
        <v>74</v>
      </c>
      <c r="BA477" t="s">
        <v>74</v>
      </c>
      <c r="BB477">
        <v>10941</v>
      </c>
      <c r="BC477">
        <v>10960</v>
      </c>
      <c r="BD477" t="s">
        <v>74</v>
      </c>
      <c r="BE477" t="s">
        <v>6665</v>
      </c>
      <c r="BF477" t="str">
        <f>HYPERLINK("http://dx.doi.org/10.1029/2000JB900442","http://dx.doi.org/10.1029/2000JB900442")</f>
        <v>http://dx.doi.org/10.1029/2000JB900442</v>
      </c>
      <c r="BG477" t="s">
        <v>74</v>
      </c>
      <c r="BH477" t="s">
        <v>74</v>
      </c>
      <c r="BI477">
        <v>20</v>
      </c>
      <c r="BJ477" t="s">
        <v>388</v>
      </c>
      <c r="BK477" t="s">
        <v>88</v>
      </c>
      <c r="BL477" t="s">
        <v>388</v>
      </c>
      <c r="BM477" t="s">
        <v>6666</v>
      </c>
      <c r="BN477" t="s">
        <v>74</v>
      </c>
      <c r="BO477" t="s">
        <v>896</v>
      </c>
      <c r="BP477" t="s">
        <v>74</v>
      </c>
      <c r="BQ477" t="s">
        <v>74</v>
      </c>
      <c r="BR477" t="s">
        <v>91</v>
      </c>
      <c r="BS477" t="s">
        <v>6667</v>
      </c>
      <c r="BT477" t="str">
        <f>HYPERLINK("https%3A%2F%2Fwww.webofscience.com%2Fwos%2Fwoscc%2Ffull-record%2FWOS:000169160200002","View Full Record in Web of Science")</f>
        <v>View Full Record in Web of Science</v>
      </c>
    </row>
    <row r="478" spans="1:72" x14ac:dyDescent="0.15">
      <c r="A478" t="s">
        <v>72</v>
      </c>
      <c r="B478" t="s">
        <v>6668</v>
      </c>
      <c r="C478" t="s">
        <v>74</v>
      </c>
      <c r="D478" t="s">
        <v>74</v>
      </c>
      <c r="E478" t="s">
        <v>74</v>
      </c>
      <c r="F478" t="s">
        <v>6668</v>
      </c>
      <c r="G478" t="s">
        <v>74</v>
      </c>
      <c r="H478" t="s">
        <v>6669</v>
      </c>
      <c r="I478" t="s">
        <v>6670</v>
      </c>
      <c r="J478" t="s">
        <v>4573</v>
      </c>
      <c r="K478" t="s">
        <v>74</v>
      </c>
      <c r="L478" t="s">
        <v>74</v>
      </c>
      <c r="M478" t="s">
        <v>77</v>
      </c>
      <c r="N478" t="s">
        <v>120</v>
      </c>
      <c r="O478" t="s">
        <v>74</v>
      </c>
      <c r="P478" t="s">
        <v>74</v>
      </c>
      <c r="Q478" t="s">
        <v>74</v>
      </c>
      <c r="R478" t="s">
        <v>74</v>
      </c>
      <c r="S478" t="s">
        <v>74</v>
      </c>
      <c r="T478" t="s">
        <v>74</v>
      </c>
      <c r="U478" t="s">
        <v>6671</v>
      </c>
      <c r="V478" t="s">
        <v>6672</v>
      </c>
      <c r="W478" t="s">
        <v>6673</v>
      </c>
      <c r="X478" t="s">
        <v>462</v>
      </c>
      <c r="Y478" t="s">
        <v>6674</v>
      </c>
      <c r="Z478" t="s">
        <v>74</v>
      </c>
      <c r="AA478" t="s">
        <v>6675</v>
      </c>
      <c r="AB478" t="s">
        <v>6676</v>
      </c>
      <c r="AC478" t="s">
        <v>74</v>
      </c>
      <c r="AD478" t="s">
        <v>74</v>
      </c>
      <c r="AE478" t="s">
        <v>74</v>
      </c>
      <c r="AF478" t="s">
        <v>74</v>
      </c>
      <c r="AG478">
        <v>78</v>
      </c>
      <c r="AH478">
        <v>492</v>
      </c>
      <c r="AI478">
        <v>593</v>
      </c>
      <c r="AJ478">
        <v>2</v>
      </c>
      <c r="AK478">
        <v>91</v>
      </c>
      <c r="AL478" t="s">
        <v>149</v>
      </c>
      <c r="AM478" t="s">
        <v>150</v>
      </c>
      <c r="AN478" t="s">
        <v>151</v>
      </c>
      <c r="AO478" t="s">
        <v>4582</v>
      </c>
      <c r="AP478" t="s">
        <v>4583</v>
      </c>
      <c r="AQ478" t="s">
        <v>74</v>
      </c>
      <c r="AR478" t="s">
        <v>4584</v>
      </c>
      <c r="AS478" t="s">
        <v>4585</v>
      </c>
      <c r="AT478" t="s">
        <v>6663</v>
      </c>
      <c r="AU478">
        <v>2001</v>
      </c>
      <c r="AV478">
        <v>106</v>
      </c>
      <c r="AW478" t="s">
        <v>6664</v>
      </c>
      <c r="AX478" t="s">
        <v>74</v>
      </c>
      <c r="AY478" t="s">
        <v>74</v>
      </c>
      <c r="AZ478" t="s">
        <v>74</v>
      </c>
      <c r="BA478" t="s">
        <v>74</v>
      </c>
      <c r="BB478">
        <v>11335</v>
      </c>
      <c r="BC478">
        <v>11351</v>
      </c>
      <c r="BD478" t="s">
        <v>74</v>
      </c>
      <c r="BE478" t="s">
        <v>6677</v>
      </c>
      <c r="BF478" t="str">
        <f>HYPERLINK("http://dx.doi.org/10.1029/2000JB900449","http://dx.doi.org/10.1029/2000JB900449")</f>
        <v>http://dx.doi.org/10.1029/2000JB900449</v>
      </c>
      <c r="BG478" t="s">
        <v>74</v>
      </c>
      <c r="BH478" t="s">
        <v>74</v>
      </c>
      <c r="BI478">
        <v>17</v>
      </c>
      <c r="BJ478" t="s">
        <v>388</v>
      </c>
      <c r="BK478" t="s">
        <v>88</v>
      </c>
      <c r="BL478" t="s">
        <v>388</v>
      </c>
      <c r="BM478" t="s">
        <v>6666</v>
      </c>
      <c r="BN478" t="s">
        <v>74</v>
      </c>
      <c r="BO478" t="s">
        <v>115</v>
      </c>
      <c r="BP478" t="s">
        <v>74</v>
      </c>
      <c r="BQ478" t="s">
        <v>74</v>
      </c>
      <c r="BR478" t="s">
        <v>91</v>
      </c>
      <c r="BS478" t="s">
        <v>6678</v>
      </c>
      <c r="BT478" t="str">
        <f>HYPERLINK("https%3A%2F%2Fwww.webofscience.com%2Fwos%2Fwoscc%2Ffull-record%2FWOS:000169160200025","View Full Record in Web of Science")</f>
        <v>View Full Record in Web of Science</v>
      </c>
    </row>
    <row r="479" spans="1:72" x14ac:dyDescent="0.15">
      <c r="A479" t="s">
        <v>72</v>
      </c>
      <c r="B479" t="s">
        <v>6679</v>
      </c>
      <c r="C479" t="s">
        <v>74</v>
      </c>
      <c r="D479" t="s">
        <v>74</v>
      </c>
      <c r="E479" t="s">
        <v>74</v>
      </c>
      <c r="F479" t="s">
        <v>6679</v>
      </c>
      <c r="G479" t="s">
        <v>74</v>
      </c>
      <c r="H479" t="s">
        <v>74</v>
      </c>
      <c r="I479" t="s">
        <v>6680</v>
      </c>
      <c r="J479" t="s">
        <v>4661</v>
      </c>
      <c r="K479" t="s">
        <v>74</v>
      </c>
      <c r="L479" t="s">
        <v>74</v>
      </c>
      <c r="M479" t="s">
        <v>77</v>
      </c>
      <c r="N479" t="s">
        <v>120</v>
      </c>
      <c r="O479" t="s">
        <v>74</v>
      </c>
      <c r="P479" t="s">
        <v>74</v>
      </c>
      <c r="Q479" t="s">
        <v>74</v>
      </c>
      <c r="R479" t="s">
        <v>74</v>
      </c>
      <c r="S479" t="s">
        <v>74</v>
      </c>
      <c r="T479" t="s">
        <v>6681</v>
      </c>
      <c r="U479" t="s">
        <v>74</v>
      </c>
      <c r="V479" t="s">
        <v>6682</v>
      </c>
      <c r="W479" t="s">
        <v>6683</v>
      </c>
      <c r="X479" t="s">
        <v>6684</v>
      </c>
      <c r="Y479" t="s">
        <v>6685</v>
      </c>
      <c r="Z479" t="s">
        <v>74</v>
      </c>
      <c r="AA479" t="s">
        <v>6686</v>
      </c>
      <c r="AB479" t="s">
        <v>6687</v>
      </c>
      <c r="AC479" t="s">
        <v>74</v>
      </c>
      <c r="AD479" t="s">
        <v>74</v>
      </c>
      <c r="AE479" t="s">
        <v>74</v>
      </c>
      <c r="AF479" t="s">
        <v>74</v>
      </c>
      <c r="AG479">
        <v>8</v>
      </c>
      <c r="AH479">
        <v>0</v>
      </c>
      <c r="AI479">
        <v>0</v>
      </c>
      <c r="AJ479">
        <v>0</v>
      </c>
      <c r="AK479">
        <v>0</v>
      </c>
      <c r="AL479" t="s">
        <v>4670</v>
      </c>
      <c r="AM479" t="s">
        <v>4671</v>
      </c>
      <c r="AN479" t="s">
        <v>4672</v>
      </c>
      <c r="AO479" t="s">
        <v>4673</v>
      </c>
      <c r="AP479" t="s">
        <v>74</v>
      </c>
      <c r="AQ479" t="s">
        <v>74</v>
      </c>
      <c r="AR479" t="s">
        <v>4674</v>
      </c>
      <c r="AS479" t="s">
        <v>4675</v>
      </c>
      <c r="AT479" t="s">
        <v>6688</v>
      </c>
      <c r="AU479">
        <v>2001</v>
      </c>
      <c r="AV479">
        <v>44</v>
      </c>
      <c r="AW479">
        <v>3</v>
      </c>
      <c r="AX479" t="s">
        <v>74</v>
      </c>
      <c r="AY479" t="s">
        <v>74</v>
      </c>
      <c r="AZ479" t="s">
        <v>74</v>
      </c>
      <c r="BA479" t="s">
        <v>74</v>
      </c>
      <c r="BB479">
        <v>571</v>
      </c>
      <c r="BC479">
        <v>578</v>
      </c>
      <c r="BD479" t="s">
        <v>74</v>
      </c>
      <c r="BE479" t="s">
        <v>74</v>
      </c>
      <c r="BF479" t="s">
        <v>74</v>
      </c>
      <c r="BG479" t="s">
        <v>74</v>
      </c>
      <c r="BH479" t="s">
        <v>74</v>
      </c>
      <c r="BI479">
        <v>8</v>
      </c>
      <c r="BJ479" t="s">
        <v>388</v>
      </c>
      <c r="BK479" t="s">
        <v>88</v>
      </c>
      <c r="BL479" t="s">
        <v>388</v>
      </c>
      <c r="BM479" t="s">
        <v>6689</v>
      </c>
      <c r="BN479" t="s">
        <v>74</v>
      </c>
      <c r="BO479" t="s">
        <v>74</v>
      </c>
      <c r="BP479" t="s">
        <v>74</v>
      </c>
      <c r="BQ479" t="s">
        <v>74</v>
      </c>
      <c r="BR479" t="s">
        <v>91</v>
      </c>
      <c r="BS479" t="s">
        <v>6690</v>
      </c>
      <c r="BT479" t="str">
        <f>HYPERLINK("https%3A%2F%2Fwww.webofscience.com%2Fwos%2Fwoscc%2Ffull-record%2FWOS:000171548300006","View Full Record in Web of Science")</f>
        <v>View Full Record in Web of Science</v>
      </c>
    </row>
    <row r="480" spans="1:72" x14ac:dyDescent="0.15">
      <c r="A480" t="s">
        <v>72</v>
      </c>
      <c r="B480" t="s">
        <v>6691</v>
      </c>
      <c r="C480" t="s">
        <v>74</v>
      </c>
      <c r="D480" t="s">
        <v>74</v>
      </c>
      <c r="E480" t="s">
        <v>74</v>
      </c>
      <c r="F480" t="s">
        <v>6691</v>
      </c>
      <c r="G480" t="s">
        <v>74</v>
      </c>
      <c r="H480" t="s">
        <v>74</v>
      </c>
      <c r="I480" t="s">
        <v>6692</v>
      </c>
      <c r="J480" t="s">
        <v>4661</v>
      </c>
      <c r="K480" t="s">
        <v>74</v>
      </c>
      <c r="L480" t="s">
        <v>74</v>
      </c>
      <c r="M480" t="s">
        <v>77</v>
      </c>
      <c r="N480" t="s">
        <v>120</v>
      </c>
      <c r="O480" t="s">
        <v>74</v>
      </c>
      <c r="P480" t="s">
        <v>74</v>
      </c>
      <c r="Q480" t="s">
        <v>74</v>
      </c>
      <c r="R480" t="s">
        <v>74</v>
      </c>
      <c r="S480" t="s">
        <v>74</v>
      </c>
      <c r="T480" t="s">
        <v>6693</v>
      </c>
      <c r="U480" t="s">
        <v>6694</v>
      </c>
      <c r="V480" t="s">
        <v>6695</v>
      </c>
      <c r="W480" t="s">
        <v>6696</v>
      </c>
      <c r="X480" t="s">
        <v>6697</v>
      </c>
      <c r="Y480" t="s">
        <v>6698</v>
      </c>
      <c r="Z480" t="s">
        <v>74</v>
      </c>
      <c r="AA480" t="s">
        <v>6699</v>
      </c>
      <c r="AB480" t="s">
        <v>6700</v>
      </c>
      <c r="AC480" t="s">
        <v>74</v>
      </c>
      <c r="AD480" t="s">
        <v>74</v>
      </c>
      <c r="AE480" t="s">
        <v>74</v>
      </c>
      <c r="AF480" t="s">
        <v>74</v>
      </c>
      <c r="AG480">
        <v>5</v>
      </c>
      <c r="AH480">
        <v>1</v>
      </c>
      <c r="AI480">
        <v>1</v>
      </c>
      <c r="AJ480">
        <v>0</v>
      </c>
      <c r="AK480">
        <v>4</v>
      </c>
      <c r="AL480" t="s">
        <v>4670</v>
      </c>
      <c r="AM480" t="s">
        <v>4671</v>
      </c>
      <c r="AN480" t="s">
        <v>4672</v>
      </c>
      <c r="AO480" t="s">
        <v>4673</v>
      </c>
      <c r="AP480" t="s">
        <v>74</v>
      </c>
      <c r="AQ480" t="s">
        <v>74</v>
      </c>
      <c r="AR480" t="s">
        <v>4674</v>
      </c>
      <c r="AS480" t="s">
        <v>4675</v>
      </c>
      <c r="AT480" t="s">
        <v>6688</v>
      </c>
      <c r="AU480">
        <v>2001</v>
      </c>
      <c r="AV480">
        <v>44</v>
      </c>
      <c r="AW480">
        <v>3</v>
      </c>
      <c r="AX480" t="s">
        <v>74</v>
      </c>
      <c r="AY480" t="s">
        <v>74</v>
      </c>
      <c r="AZ480" t="s">
        <v>74</v>
      </c>
      <c r="BA480" t="s">
        <v>74</v>
      </c>
      <c r="BB480">
        <v>619</v>
      </c>
      <c r="BC480">
        <v>626</v>
      </c>
      <c r="BD480" t="s">
        <v>74</v>
      </c>
      <c r="BE480" t="s">
        <v>74</v>
      </c>
      <c r="BF480" t="s">
        <v>74</v>
      </c>
      <c r="BG480" t="s">
        <v>74</v>
      </c>
      <c r="BH480" t="s">
        <v>74</v>
      </c>
      <c r="BI480">
        <v>8</v>
      </c>
      <c r="BJ480" t="s">
        <v>388</v>
      </c>
      <c r="BK480" t="s">
        <v>88</v>
      </c>
      <c r="BL480" t="s">
        <v>388</v>
      </c>
      <c r="BM480" t="s">
        <v>6689</v>
      </c>
      <c r="BN480" t="s">
        <v>74</v>
      </c>
      <c r="BO480" t="s">
        <v>74</v>
      </c>
      <c r="BP480" t="s">
        <v>74</v>
      </c>
      <c r="BQ480" t="s">
        <v>74</v>
      </c>
      <c r="BR480" t="s">
        <v>91</v>
      </c>
      <c r="BS480" t="s">
        <v>6701</v>
      </c>
      <c r="BT480" t="str">
        <f>HYPERLINK("https%3A%2F%2Fwww.webofscience.com%2Fwos%2Fwoscc%2Ffull-record%2FWOS:000171548300010","View Full Record in Web of Science")</f>
        <v>View Full Record in Web of Science</v>
      </c>
    </row>
    <row r="481" spans="1:72" x14ac:dyDescent="0.15">
      <c r="A481" t="s">
        <v>72</v>
      </c>
      <c r="B481" t="s">
        <v>6702</v>
      </c>
      <c r="C481" t="s">
        <v>74</v>
      </c>
      <c r="D481" t="s">
        <v>74</v>
      </c>
      <c r="E481" t="s">
        <v>74</v>
      </c>
      <c r="F481" t="s">
        <v>6702</v>
      </c>
      <c r="G481" t="s">
        <v>74</v>
      </c>
      <c r="H481" t="s">
        <v>74</v>
      </c>
      <c r="I481" t="s">
        <v>6703</v>
      </c>
      <c r="J481" t="s">
        <v>3241</v>
      </c>
      <c r="K481" t="s">
        <v>74</v>
      </c>
      <c r="L481" t="s">
        <v>74</v>
      </c>
      <c r="M481" t="s">
        <v>77</v>
      </c>
      <c r="N481" t="s">
        <v>414</v>
      </c>
      <c r="O481" t="s">
        <v>74</v>
      </c>
      <c r="P481" t="s">
        <v>74</v>
      </c>
      <c r="Q481" t="s">
        <v>74</v>
      </c>
      <c r="R481" t="s">
        <v>74</v>
      </c>
      <c r="S481" t="s">
        <v>74</v>
      </c>
      <c r="T481" t="s">
        <v>74</v>
      </c>
      <c r="U481" t="s">
        <v>74</v>
      </c>
      <c r="V481" t="s">
        <v>74</v>
      </c>
      <c r="W481" t="s">
        <v>74</v>
      </c>
      <c r="X481" t="s">
        <v>74</v>
      </c>
      <c r="Y481" t="s">
        <v>74</v>
      </c>
      <c r="Z481" t="s">
        <v>74</v>
      </c>
      <c r="AA481" t="s">
        <v>74</v>
      </c>
      <c r="AB481" t="s">
        <v>74</v>
      </c>
      <c r="AC481" t="s">
        <v>74</v>
      </c>
      <c r="AD481" t="s">
        <v>74</v>
      </c>
      <c r="AE481" t="s">
        <v>74</v>
      </c>
      <c r="AF481" t="s">
        <v>74</v>
      </c>
      <c r="AG481">
        <v>0</v>
      </c>
      <c r="AH481">
        <v>0</v>
      </c>
      <c r="AI481">
        <v>0</v>
      </c>
      <c r="AJ481">
        <v>0</v>
      </c>
      <c r="AK481">
        <v>1</v>
      </c>
      <c r="AL481" t="s">
        <v>1293</v>
      </c>
      <c r="AM481" t="s">
        <v>3243</v>
      </c>
      <c r="AN481" t="s">
        <v>3244</v>
      </c>
      <c r="AO481" t="s">
        <v>3245</v>
      </c>
      <c r="AP481" t="s">
        <v>74</v>
      </c>
      <c r="AQ481" t="s">
        <v>74</v>
      </c>
      <c r="AR481" t="s">
        <v>3246</v>
      </c>
      <c r="AS481" t="s">
        <v>3247</v>
      </c>
      <c r="AT481" t="s">
        <v>6688</v>
      </c>
      <c r="AU481">
        <v>2001</v>
      </c>
      <c r="AV481">
        <v>13</v>
      </c>
      <c r="AW481">
        <v>2</v>
      </c>
      <c r="AX481" t="s">
        <v>74</v>
      </c>
      <c r="AY481" t="s">
        <v>74</v>
      </c>
      <c r="AZ481" t="s">
        <v>74</v>
      </c>
      <c r="BA481" t="s">
        <v>74</v>
      </c>
      <c r="BB481">
        <v>97</v>
      </c>
      <c r="BC481">
        <v>97</v>
      </c>
      <c r="BD481" t="s">
        <v>74</v>
      </c>
      <c r="BE481" t="s">
        <v>6704</v>
      </c>
      <c r="BF481" t="str">
        <f>HYPERLINK("http://dx.doi.org/10.1017/S0954102001000165","http://dx.doi.org/10.1017/S0954102001000165")</f>
        <v>http://dx.doi.org/10.1017/S0954102001000165</v>
      </c>
      <c r="BG481" t="s">
        <v>74</v>
      </c>
      <c r="BH481" t="s">
        <v>74</v>
      </c>
      <c r="BI481">
        <v>1</v>
      </c>
      <c r="BJ481" t="s">
        <v>3249</v>
      </c>
      <c r="BK481" t="s">
        <v>88</v>
      </c>
      <c r="BL481" t="s">
        <v>3250</v>
      </c>
      <c r="BM481" t="s">
        <v>6705</v>
      </c>
      <c r="BN481" t="s">
        <v>74</v>
      </c>
      <c r="BO481" t="s">
        <v>171</v>
      </c>
      <c r="BP481" t="s">
        <v>74</v>
      </c>
      <c r="BQ481" t="s">
        <v>74</v>
      </c>
      <c r="BR481" t="s">
        <v>91</v>
      </c>
      <c r="BS481" t="s">
        <v>6706</v>
      </c>
      <c r="BT481" t="str">
        <f>HYPERLINK("https%3A%2F%2Fwww.webofscience.com%2Fwos%2Fwoscc%2Ffull-record%2FWOS:000171009900001","View Full Record in Web of Science")</f>
        <v>View Full Record in Web of Science</v>
      </c>
    </row>
    <row r="482" spans="1:72" x14ac:dyDescent="0.15">
      <c r="A482" t="s">
        <v>72</v>
      </c>
      <c r="B482" t="s">
        <v>6707</v>
      </c>
      <c r="C482" t="s">
        <v>74</v>
      </c>
      <c r="D482" t="s">
        <v>74</v>
      </c>
      <c r="E482" t="s">
        <v>74</v>
      </c>
      <c r="F482" t="s">
        <v>6707</v>
      </c>
      <c r="G482" t="s">
        <v>74</v>
      </c>
      <c r="H482" t="s">
        <v>74</v>
      </c>
      <c r="I482" t="s">
        <v>6708</v>
      </c>
      <c r="J482" t="s">
        <v>3241</v>
      </c>
      <c r="K482" t="s">
        <v>74</v>
      </c>
      <c r="L482" t="s">
        <v>74</v>
      </c>
      <c r="M482" t="s">
        <v>77</v>
      </c>
      <c r="N482" t="s">
        <v>96</v>
      </c>
      <c r="O482" t="s">
        <v>74</v>
      </c>
      <c r="P482" t="s">
        <v>74</v>
      </c>
      <c r="Q482" t="s">
        <v>74</v>
      </c>
      <c r="R482" t="s">
        <v>74</v>
      </c>
      <c r="S482" t="s">
        <v>74</v>
      </c>
      <c r="T482" t="s">
        <v>6709</v>
      </c>
      <c r="U482" t="s">
        <v>6710</v>
      </c>
      <c r="V482" t="s">
        <v>6711</v>
      </c>
      <c r="W482" t="s">
        <v>6712</v>
      </c>
      <c r="X482" t="s">
        <v>6713</v>
      </c>
      <c r="Y482" t="s">
        <v>3374</v>
      </c>
      <c r="Z482" t="s">
        <v>74</v>
      </c>
      <c r="AA482" t="s">
        <v>74</v>
      </c>
      <c r="AB482" t="s">
        <v>6714</v>
      </c>
      <c r="AC482" t="s">
        <v>74</v>
      </c>
      <c r="AD482" t="s">
        <v>74</v>
      </c>
      <c r="AE482" t="s">
        <v>74</v>
      </c>
      <c r="AF482" t="s">
        <v>74</v>
      </c>
      <c r="AG482">
        <v>64</v>
      </c>
      <c r="AH482">
        <v>93</v>
      </c>
      <c r="AI482">
        <v>100</v>
      </c>
      <c r="AJ482">
        <v>0</v>
      </c>
      <c r="AK482">
        <v>7</v>
      </c>
      <c r="AL482" t="s">
        <v>1293</v>
      </c>
      <c r="AM482" t="s">
        <v>204</v>
      </c>
      <c r="AN482" t="s">
        <v>1699</v>
      </c>
      <c r="AO482" t="s">
        <v>3245</v>
      </c>
      <c r="AP482" t="s">
        <v>3315</v>
      </c>
      <c r="AQ482" t="s">
        <v>74</v>
      </c>
      <c r="AR482" t="s">
        <v>3246</v>
      </c>
      <c r="AS482" t="s">
        <v>3247</v>
      </c>
      <c r="AT482" t="s">
        <v>6688</v>
      </c>
      <c r="AU482">
        <v>2001</v>
      </c>
      <c r="AV482">
        <v>13</v>
      </c>
      <c r="AW482">
        <v>2</v>
      </c>
      <c r="AX482" t="s">
        <v>74</v>
      </c>
      <c r="AY482" t="s">
        <v>74</v>
      </c>
      <c r="AZ482" t="s">
        <v>74</v>
      </c>
      <c r="BA482" t="s">
        <v>74</v>
      </c>
      <c r="BB482">
        <v>99</v>
      </c>
      <c r="BC482">
        <v>110</v>
      </c>
      <c r="BD482" t="s">
        <v>74</v>
      </c>
      <c r="BE482" t="s">
        <v>6715</v>
      </c>
      <c r="BF482" t="str">
        <f>HYPERLINK("http://dx.doi.org/10.1017/S0954102001000177","http://dx.doi.org/10.1017/S0954102001000177")</f>
        <v>http://dx.doi.org/10.1017/S0954102001000177</v>
      </c>
      <c r="BG482" t="s">
        <v>74</v>
      </c>
      <c r="BH482" t="s">
        <v>74</v>
      </c>
      <c r="BI482">
        <v>12</v>
      </c>
      <c r="BJ482" t="s">
        <v>3249</v>
      </c>
      <c r="BK482" t="s">
        <v>88</v>
      </c>
      <c r="BL482" t="s">
        <v>3250</v>
      </c>
      <c r="BM482" t="s">
        <v>6705</v>
      </c>
      <c r="BN482" t="s">
        <v>74</v>
      </c>
      <c r="BO482" t="s">
        <v>74</v>
      </c>
      <c r="BP482" t="s">
        <v>74</v>
      </c>
      <c r="BQ482" t="s">
        <v>74</v>
      </c>
      <c r="BR482" t="s">
        <v>91</v>
      </c>
      <c r="BS482" t="s">
        <v>6716</v>
      </c>
      <c r="BT482" t="str">
        <f>HYPERLINK("https%3A%2F%2Fwww.webofscience.com%2Fwos%2Fwoscc%2Ffull-record%2FWOS:000171009900002","View Full Record in Web of Science")</f>
        <v>View Full Record in Web of Science</v>
      </c>
    </row>
    <row r="483" spans="1:72" x14ac:dyDescent="0.15">
      <c r="A483" t="s">
        <v>72</v>
      </c>
      <c r="B483" t="s">
        <v>6717</v>
      </c>
      <c r="C483" t="s">
        <v>74</v>
      </c>
      <c r="D483" t="s">
        <v>74</v>
      </c>
      <c r="E483" t="s">
        <v>74</v>
      </c>
      <c r="F483" t="s">
        <v>6717</v>
      </c>
      <c r="G483" t="s">
        <v>74</v>
      </c>
      <c r="H483" t="s">
        <v>74</v>
      </c>
      <c r="I483" t="s">
        <v>6718</v>
      </c>
      <c r="J483" t="s">
        <v>3241</v>
      </c>
      <c r="K483" t="s">
        <v>74</v>
      </c>
      <c r="L483" t="s">
        <v>74</v>
      </c>
      <c r="M483" t="s">
        <v>77</v>
      </c>
      <c r="N483" t="s">
        <v>120</v>
      </c>
      <c r="O483" t="s">
        <v>74</v>
      </c>
      <c r="P483" t="s">
        <v>74</v>
      </c>
      <c r="Q483" t="s">
        <v>74</v>
      </c>
      <c r="R483" t="s">
        <v>74</v>
      </c>
      <c r="S483" t="s">
        <v>74</v>
      </c>
      <c r="T483" t="s">
        <v>6719</v>
      </c>
      <c r="U483" t="s">
        <v>6720</v>
      </c>
      <c r="V483" t="s">
        <v>6721</v>
      </c>
      <c r="W483" t="s">
        <v>6722</v>
      </c>
      <c r="X483" t="s">
        <v>6723</v>
      </c>
      <c r="Y483" t="s">
        <v>1680</v>
      </c>
      <c r="Z483" t="s">
        <v>6724</v>
      </c>
      <c r="AA483" t="s">
        <v>2775</v>
      </c>
      <c r="AB483" t="s">
        <v>6725</v>
      </c>
      <c r="AC483" t="s">
        <v>74</v>
      </c>
      <c r="AD483" t="s">
        <v>74</v>
      </c>
      <c r="AE483" t="s">
        <v>74</v>
      </c>
      <c r="AF483" t="s">
        <v>74</v>
      </c>
      <c r="AG483">
        <v>36</v>
      </c>
      <c r="AH483">
        <v>68</v>
      </c>
      <c r="AI483">
        <v>79</v>
      </c>
      <c r="AJ483">
        <v>1</v>
      </c>
      <c r="AK483">
        <v>23</v>
      </c>
      <c r="AL483" t="s">
        <v>1293</v>
      </c>
      <c r="AM483" t="s">
        <v>204</v>
      </c>
      <c r="AN483" t="s">
        <v>1699</v>
      </c>
      <c r="AO483" t="s">
        <v>3245</v>
      </c>
      <c r="AP483" t="s">
        <v>3315</v>
      </c>
      <c r="AQ483" t="s">
        <v>74</v>
      </c>
      <c r="AR483" t="s">
        <v>3246</v>
      </c>
      <c r="AS483" t="s">
        <v>3247</v>
      </c>
      <c r="AT483" t="s">
        <v>6688</v>
      </c>
      <c r="AU483">
        <v>2001</v>
      </c>
      <c r="AV483">
        <v>13</v>
      </c>
      <c r="AW483">
        <v>2</v>
      </c>
      <c r="AX483" t="s">
        <v>74</v>
      </c>
      <c r="AY483" t="s">
        <v>74</v>
      </c>
      <c r="AZ483" t="s">
        <v>74</v>
      </c>
      <c r="BA483" t="s">
        <v>74</v>
      </c>
      <c r="BB483">
        <v>111</v>
      </c>
      <c r="BC483">
        <v>118</v>
      </c>
      <c r="BD483" t="s">
        <v>74</v>
      </c>
      <c r="BE483" t="s">
        <v>6726</v>
      </c>
      <c r="BF483" t="str">
        <f>HYPERLINK("http://dx.doi.org/10.1017/S0954102001000189","http://dx.doi.org/10.1017/S0954102001000189")</f>
        <v>http://dx.doi.org/10.1017/S0954102001000189</v>
      </c>
      <c r="BG483" t="s">
        <v>74</v>
      </c>
      <c r="BH483" t="s">
        <v>74</v>
      </c>
      <c r="BI483">
        <v>8</v>
      </c>
      <c r="BJ483" t="s">
        <v>3249</v>
      </c>
      <c r="BK483" t="s">
        <v>88</v>
      </c>
      <c r="BL483" t="s">
        <v>3250</v>
      </c>
      <c r="BM483" t="s">
        <v>6705</v>
      </c>
      <c r="BN483" t="s">
        <v>74</v>
      </c>
      <c r="BO483" t="s">
        <v>74</v>
      </c>
      <c r="BP483" t="s">
        <v>74</v>
      </c>
      <c r="BQ483" t="s">
        <v>74</v>
      </c>
      <c r="BR483" t="s">
        <v>91</v>
      </c>
      <c r="BS483" t="s">
        <v>6727</v>
      </c>
      <c r="BT483" t="str">
        <f>HYPERLINK("https%3A%2F%2Fwww.webofscience.com%2Fwos%2Fwoscc%2Ffull-record%2FWOS:000171009900003","View Full Record in Web of Science")</f>
        <v>View Full Record in Web of Science</v>
      </c>
    </row>
    <row r="484" spans="1:72" x14ac:dyDescent="0.15">
      <c r="A484" t="s">
        <v>72</v>
      </c>
      <c r="B484" t="s">
        <v>6728</v>
      </c>
      <c r="C484" t="s">
        <v>74</v>
      </c>
      <c r="D484" t="s">
        <v>74</v>
      </c>
      <c r="E484" t="s">
        <v>74</v>
      </c>
      <c r="F484" t="s">
        <v>6728</v>
      </c>
      <c r="G484" t="s">
        <v>74</v>
      </c>
      <c r="H484" t="s">
        <v>74</v>
      </c>
      <c r="I484" t="s">
        <v>6729</v>
      </c>
      <c r="J484" t="s">
        <v>3241</v>
      </c>
      <c r="K484" t="s">
        <v>74</v>
      </c>
      <c r="L484" t="s">
        <v>74</v>
      </c>
      <c r="M484" t="s">
        <v>77</v>
      </c>
      <c r="N484" t="s">
        <v>120</v>
      </c>
      <c r="O484" t="s">
        <v>74</v>
      </c>
      <c r="P484" t="s">
        <v>74</v>
      </c>
      <c r="Q484" t="s">
        <v>74</v>
      </c>
      <c r="R484" t="s">
        <v>74</v>
      </c>
      <c r="S484" t="s">
        <v>74</v>
      </c>
      <c r="T484" t="s">
        <v>6730</v>
      </c>
      <c r="U484" t="s">
        <v>6731</v>
      </c>
      <c r="V484" t="s">
        <v>6732</v>
      </c>
      <c r="W484" t="s">
        <v>6733</v>
      </c>
      <c r="X484" t="s">
        <v>1679</v>
      </c>
      <c r="Y484" t="s">
        <v>6734</v>
      </c>
      <c r="Z484" t="s">
        <v>6735</v>
      </c>
      <c r="AA484" t="s">
        <v>6736</v>
      </c>
      <c r="AB484" t="s">
        <v>6737</v>
      </c>
      <c r="AC484" t="s">
        <v>74</v>
      </c>
      <c r="AD484" t="s">
        <v>74</v>
      </c>
      <c r="AE484" t="s">
        <v>74</v>
      </c>
      <c r="AF484" t="s">
        <v>74</v>
      </c>
      <c r="AG484">
        <v>51</v>
      </c>
      <c r="AH484">
        <v>39</v>
      </c>
      <c r="AI484">
        <v>41</v>
      </c>
      <c r="AJ484">
        <v>0</v>
      </c>
      <c r="AK484">
        <v>10</v>
      </c>
      <c r="AL484" t="s">
        <v>1293</v>
      </c>
      <c r="AM484" t="s">
        <v>204</v>
      </c>
      <c r="AN484" t="s">
        <v>1699</v>
      </c>
      <c r="AO484" t="s">
        <v>3245</v>
      </c>
      <c r="AP484" t="s">
        <v>3315</v>
      </c>
      <c r="AQ484" t="s">
        <v>74</v>
      </c>
      <c r="AR484" t="s">
        <v>3246</v>
      </c>
      <c r="AS484" t="s">
        <v>3247</v>
      </c>
      <c r="AT484" t="s">
        <v>6688</v>
      </c>
      <c r="AU484">
        <v>2001</v>
      </c>
      <c r="AV484">
        <v>13</v>
      </c>
      <c r="AW484">
        <v>2</v>
      </c>
      <c r="AX484" t="s">
        <v>74</v>
      </c>
      <c r="AY484" t="s">
        <v>74</v>
      </c>
      <c r="AZ484" t="s">
        <v>74</v>
      </c>
      <c r="BA484" t="s">
        <v>74</v>
      </c>
      <c r="BB484">
        <v>119</v>
      </c>
      <c r="BC484">
        <v>125</v>
      </c>
      <c r="BD484" t="s">
        <v>74</v>
      </c>
      <c r="BE484" t="s">
        <v>6738</v>
      </c>
      <c r="BF484" t="str">
        <f>HYPERLINK("http://dx.doi.org/10.1017/S0954102001000190","http://dx.doi.org/10.1017/S0954102001000190")</f>
        <v>http://dx.doi.org/10.1017/S0954102001000190</v>
      </c>
      <c r="BG484" t="s">
        <v>74</v>
      </c>
      <c r="BH484" t="s">
        <v>74</v>
      </c>
      <c r="BI484">
        <v>7</v>
      </c>
      <c r="BJ484" t="s">
        <v>3249</v>
      </c>
      <c r="BK484" t="s">
        <v>88</v>
      </c>
      <c r="BL484" t="s">
        <v>3250</v>
      </c>
      <c r="BM484" t="s">
        <v>6705</v>
      </c>
      <c r="BN484" t="s">
        <v>74</v>
      </c>
      <c r="BO484" t="s">
        <v>74</v>
      </c>
      <c r="BP484" t="s">
        <v>74</v>
      </c>
      <c r="BQ484" t="s">
        <v>74</v>
      </c>
      <c r="BR484" t="s">
        <v>91</v>
      </c>
      <c r="BS484" t="s">
        <v>6739</v>
      </c>
      <c r="BT484" t="str">
        <f>HYPERLINK("https%3A%2F%2Fwww.webofscience.com%2Fwos%2Fwoscc%2Ffull-record%2FWOS:000171009900004","View Full Record in Web of Science")</f>
        <v>View Full Record in Web of Science</v>
      </c>
    </row>
    <row r="485" spans="1:72" x14ac:dyDescent="0.15">
      <c r="A485" t="s">
        <v>72</v>
      </c>
      <c r="B485" t="s">
        <v>6740</v>
      </c>
      <c r="C485" t="s">
        <v>74</v>
      </c>
      <c r="D485" t="s">
        <v>74</v>
      </c>
      <c r="E485" t="s">
        <v>74</v>
      </c>
      <c r="F485" t="s">
        <v>6740</v>
      </c>
      <c r="G485" t="s">
        <v>74</v>
      </c>
      <c r="H485" t="s">
        <v>74</v>
      </c>
      <c r="I485" t="s">
        <v>6741</v>
      </c>
      <c r="J485" t="s">
        <v>3241</v>
      </c>
      <c r="K485" t="s">
        <v>74</v>
      </c>
      <c r="L485" t="s">
        <v>74</v>
      </c>
      <c r="M485" t="s">
        <v>77</v>
      </c>
      <c r="N485" t="s">
        <v>120</v>
      </c>
      <c r="O485" t="s">
        <v>74</v>
      </c>
      <c r="P485" t="s">
        <v>74</v>
      </c>
      <c r="Q485" t="s">
        <v>74</v>
      </c>
      <c r="R485" t="s">
        <v>74</v>
      </c>
      <c r="S485" t="s">
        <v>74</v>
      </c>
      <c r="T485" t="s">
        <v>6742</v>
      </c>
      <c r="U485" t="s">
        <v>6743</v>
      </c>
      <c r="V485" t="s">
        <v>6744</v>
      </c>
      <c r="W485" t="s">
        <v>6745</v>
      </c>
      <c r="X485" t="s">
        <v>6746</v>
      </c>
      <c r="Y485" t="s">
        <v>6747</v>
      </c>
      <c r="Z485" t="s">
        <v>74</v>
      </c>
      <c r="AA485" t="s">
        <v>6748</v>
      </c>
      <c r="AB485" t="s">
        <v>6749</v>
      </c>
      <c r="AC485" t="s">
        <v>74</v>
      </c>
      <c r="AD485" t="s">
        <v>74</v>
      </c>
      <c r="AE485" t="s">
        <v>74</v>
      </c>
      <c r="AF485" t="s">
        <v>74</v>
      </c>
      <c r="AG485">
        <v>30</v>
      </c>
      <c r="AH485">
        <v>32</v>
      </c>
      <c r="AI485">
        <v>38</v>
      </c>
      <c r="AJ485">
        <v>0</v>
      </c>
      <c r="AK485">
        <v>17</v>
      </c>
      <c r="AL485" t="s">
        <v>1293</v>
      </c>
      <c r="AM485" t="s">
        <v>204</v>
      </c>
      <c r="AN485" t="s">
        <v>1699</v>
      </c>
      <c r="AO485" t="s">
        <v>3245</v>
      </c>
      <c r="AP485" t="s">
        <v>3315</v>
      </c>
      <c r="AQ485" t="s">
        <v>74</v>
      </c>
      <c r="AR485" t="s">
        <v>3246</v>
      </c>
      <c r="AS485" t="s">
        <v>3247</v>
      </c>
      <c r="AT485" t="s">
        <v>6688</v>
      </c>
      <c r="AU485">
        <v>2001</v>
      </c>
      <c r="AV485">
        <v>13</v>
      </c>
      <c r="AW485">
        <v>2</v>
      </c>
      <c r="AX485" t="s">
        <v>74</v>
      </c>
      <c r="AY485" t="s">
        <v>74</v>
      </c>
      <c r="AZ485" t="s">
        <v>74</v>
      </c>
      <c r="BA485" t="s">
        <v>74</v>
      </c>
      <c r="BB485">
        <v>126</v>
      </c>
      <c r="BC485">
        <v>134</v>
      </c>
      <c r="BD485" t="s">
        <v>74</v>
      </c>
      <c r="BE485" t="s">
        <v>6750</v>
      </c>
      <c r="BF485" t="str">
        <f>HYPERLINK("http://dx.doi.org/10.1017/S0954102001000207","http://dx.doi.org/10.1017/S0954102001000207")</f>
        <v>http://dx.doi.org/10.1017/S0954102001000207</v>
      </c>
      <c r="BG485" t="s">
        <v>74</v>
      </c>
      <c r="BH485" t="s">
        <v>74</v>
      </c>
      <c r="BI485">
        <v>9</v>
      </c>
      <c r="BJ485" t="s">
        <v>3249</v>
      </c>
      <c r="BK485" t="s">
        <v>88</v>
      </c>
      <c r="BL485" t="s">
        <v>3250</v>
      </c>
      <c r="BM485" t="s">
        <v>6705</v>
      </c>
      <c r="BN485" t="s">
        <v>74</v>
      </c>
      <c r="BO485" t="s">
        <v>74</v>
      </c>
      <c r="BP485" t="s">
        <v>74</v>
      </c>
      <c r="BQ485" t="s">
        <v>74</v>
      </c>
      <c r="BR485" t="s">
        <v>91</v>
      </c>
      <c r="BS485" t="s">
        <v>6751</v>
      </c>
      <c r="BT485" t="str">
        <f>HYPERLINK("https%3A%2F%2Fwww.webofscience.com%2Fwos%2Fwoscc%2Ffull-record%2FWOS:000171009900005","View Full Record in Web of Science")</f>
        <v>View Full Record in Web of Science</v>
      </c>
    </row>
    <row r="486" spans="1:72" x14ac:dyDescent="0.15">
      <c r="A486" t="s">
        <v>72</v>
      </c>
      <c r="B486" t="s">
        <v>6752</v>
      </c>
      <c r="C486" t="s">
        <v>74</v>
      </c>
      <c r="D486" t="s">
        <v>74</v>
      </c>
      <c r="E486" t="s">
        <v>74</v>
      </c>
      <c r="F486" t="s">
        <v>6752</v>
      </c>
      <c r="G486" t="s">
        <v>74</v>
      </c>
      <c r="H486" t="s">
        <v>74</v>
      </c>
      <c r="I486" t="s">
        <v>6753</v>
      </c>
      <c r="J486" t="s">
        <v>3241</v>
      </c>
      <c r="K486" t="s">
        <v>74</v>
      </c>
      <c r="L486" t="s">
        <v>74</v>
      </c>
      <c r="M486" t="s">
        <v>77</v>
      </c>
      <c r="N486" t="s">
        <v>120</v>
      </c>
      <c r="O486" t="s">
        <v>74</v>
      </c>
      <c r="P486" t="s">
        <v>74</v>
      </c>
      <c r="Q486" t="s">
        <v>74</v>
      </c>
      <c r="R486" t="s">
        <v>74</v>
      </c>
      <c r="S486" t="s">
        <v>74</v>
      </c>
      <c r="T486" t="s">
        <v>6754</v>
      </c>
      <c r="U486" t="s">
        <v>6755</v>
      </c>
      <c r="V486" t="s">
        <v>6756</v>
      </c>
      <c r="W486" t="s">
        <v>6757</v>
      </c>
      <c r="X486" t="s">
        <v>6758</v>
      </c>
      <c r="Y486" t="s">
        <v>3209</v>
      </c>
      <c r="Z486" t="s">
        <v>6759</v>
      </c>
      <c r="AA486" t="s">
        <v>6760</v>
      </c>
      <c r="AB486" t="s">
        <v>4894</v>
      </c>
      <c r="AC486" t="s">
        <v>74</v>
      </c>
      <c r="AD486" t="s">
        <v>74</v>
      </c>
      <c r="AE486" t="s">
        <v>74</v>
      </c>
      <c r="AF486" t="s">
        <v>74</v>
      </c>
      <c r="AG486">
        <v>64</v>
      </c>
      <c r="AH486">
        <v>37</v>
      </c>
      <c r="AI486">
        <v>40</v>
      </c>
      <c r="AJ486">
        <v>1</v>
      </c>
      <c r="AK486">
        <v>32</v>
      </c>
      <c r="AL486" t="s">
        <v>1293</v>
      </c>
      <c r="AM486" t="s">
        <v>204</v>
      </c>
      <c r="AN486" t="s">
        <v>1699</v>
      </c>
      <c r="AO486" t="s">
        <v>3245</v>
      </c>
      <c r="AP486" t="s">
        <v>3315</v>
      </c>
      <c r="AQ486" t="s">
        <v>74</v>
      </c>
      <c r="AR486" t="s">
        <v>3246</v>
      </c>
      <c r="AS486" t="s">
        <v>3247</v>
      </c>
      <c r="AT486" t="s">
        <v>6688</v>
      </c>
      <c r="AU486">
        <v>2001</v>
      </c>
      <c r="AV486">
        <v>13</v>
      </c>
      <c r="AW486">
        <v>2</v>
      </c>
      <c r="AX486" t="s">
        <v>74</v>
      </c>
      <c r="AY486" t="s">
        <v>74</v>
      </c>
      <c r="AZ486" t="s">
        <v>74</v>
      </c>
      <c r="BA486" t="s">
        <v>74</v>
      </c>
      <c r="BB486">
        <v>135</v>
      </c>
      <c r="BC486">
        <v>143</v>
      </c>
      <c r="BD486" t="s">
        <v>74</v>
      </c>
      <c r="BE486" t="s">
        <v>6761</v>
      </c>
      <c r="BF486" t="str">
        <f>HYPERLINK("http://dx.doi.org/10.1017/S0954102001000219","http://dx.doi.org/10.1017/S0954102001000219")</f>
        <v>http://dx.doi.org/10.1017/S0954102001000219</v>
      </c>
      <c r="BG486" t="s">
        <v>74</v>
      </c>
      <c r="BH486" t="s">
        <v>74</v>
      </c>
      <c r="BI486">
        <v>9</v>
      </c>
      <c r="BJ486" t="s">
        <v>3249</v>
      </c>
      <c r="BK486" t="s">
        <v>88</v>
      </c>
      <c r="BL486" t="s">
        <v>3250</v>
      </c>
      <c r="BM486" t="s">
        <v>6705</v>
      </c>
      <c r="BN486" t="s">
        <v>74</v>
      </c>
      <c r="BO486" t="s">
        <v>74</v>
      </c>
      <c r="BP486" t="s">
        <v>74</v>
      </c>
      <c r="BQ486" t="s">
        <v>74</v>
      </c>
      <c r="BR486" t="s">
        <v>91</v>
      </c>
      <c r="BS486" t="s">
        <v>6762</v>
      </c>
      <c r="BT486" t="str">
        <f>HYPERLINK("https%3A%2F%2Fwww.webofscience.com%2Fwos%2Fwoscc%2Ffull-record%2FWOS:000171009900006","View Full Record in Web of Science")</f>
        <v>View Full Record in Web of Science</v>
      </c>
    </row>
    <row r="487" spans="1:72" x14ac:dyDescent="0.15">
      <c r="A487" t="s">
        <v>72</v>
      </c>
      <c r="B487" t="s">
        <v>253</v>
      </c>
      <c r="C487" t="s">
        <v>74</v>
      </c>
      <c r="D487" t="s">
        <v>74</v>
      </c>
      <c r="E487" t="s">
        <v>74</v>
      </c>
      <c r="F487" t="s">
        <v>253</v>
      </c>
      <c r="G487" t="s">
        <v>74</v>
      </c>
      <c r="H487" t="s">
        <v>74</v>
      </c>
      <c r="I487" t="s">
        <v>6763</v>
      </c>
      <c r="J487" t="s">
        <v>3241</v>
      </c>
      <c r="K487" t="s">
        <v>74</v>
      </c>
      <c r="L487" t="s">
        <v>74</v>
      </c>
      <c r="M487" t="s">
        <v>77</v>
      </c>
      <c r="N487" t="s">
        <v>120</v>
      </c>
      <c r="O487" t="s">
        <v>74</v>
      </c>
      <c r="P487" t="s">
        <v>74</v>
      </c>
      <c r="Q487" t="s">
        <v>74</v>
      </c>
      <c r="R487" t="s">
        <v>74</v>
      </c>
      <c r="S487" t="s">
        <v>74</v>
      </c>
      <c r="T487" t="s">
        <v>6764</v>
      </c>
      <c r="U487" t="s">
        <v>6765</v>
      </c>
      <c r="V487" t="s">
        <v>6766</v>
      </c>
      <c r="W487" t="s">
        <v>6767</v>
      </c>
      <c r="X487" t="s">
        <v>258</v>
      </c>
      <c r="Y487" t="s">
        <v>6768</v>
      </c>
      <c r="Z487" t="s">
        <v>74</v>
      </c>
      <c r="AA487" t="s">
        <v>74</v>
      </c>
      <c r="AB487" t="s">
        <v>74</v>
      </c>
      <c r="AC487" t="s">
        <v>74</v>
      </c>
      <c r="AD487" t="s">
        <v>74</v>
      </c>
      <c r="AE487" t="s">
        <v>74</v>
      </c>
      <c r="AF487" t="s">
        <v>74</v>
      </c>
      <c r="AG487">
        <v>19</v>
      </c>
      <c r="AH487">
        <v>14</v>
      </c>
      <c r="AI487">
        <v>14</v>
      </c>
      <c r="AJ487">
        <v>0</v>
      </c>
      <c r="AK487">
        <v>1</v>
      </c>
      <c r="AL487" t="s">
        <v>1293</v>
      </c>
      <c r="AM487" t="s">
        <v>3243</v>
      </c>
      <c r="AN487" t="s">
        <v>3244</v>
      </c>
      <c r="AO487" t="s">
        <v>3245</v>
      </c>
      <c r="AP487" t="s">
        <v>74</v>
      </c>
      <c r="AQ487" t="s">
        <v>74</v>
      </c>
      <c r="AR487" t="s">
        <v>3246</v>
      </c>
      <c r="AS487" t="s">
        <v>3247</v>
      </c>
      <c r="AT487" t="s">
        <v>6688</v>
      </c>
      <c r="AU487">
        <v>2001</v>
      </c>
      <c r="AV487">
        <v>13</v>
      </c>
      <c r="AW487">
        <v>2</v>
      </c>
      <c r="AX487" t="s">
        <v>74</v>
      </c>
      <c r="AY487" t="s">
        <v>74</v>
      </c>
      <c r="AZ487" t="s">
        <v>74</v>
      </c>
      <c r="BA487" t="s">
        <v>74</v>
      </c>
      <c r="BB487">
        <v>144</v>
      </c>
      <c r="BC487">
        <v>149</v>
      </c>
      <c r="BD487" t="s">
        <v>74</v>
      </c>
      <c r="BE487" t="s">
        <v>6769</v>
      </c>
      <c r="BF487" t="str">
        <f>HYPERLINK("http://dx.doi.org/10.1017/S0954102001000220","http://dx.doi.org/10.1017/S0954102001000220")</f>
        <v>http://dx.doi.org/10.1017/S0954102001000220</v>
      </c>
      <c r="BG487" t="s">
        <v>74</v>
      </c>
      <c r="BH487" t="s">
        <v>74</v>
      </c>
      <c r="BI487">
        <v>6</v>
      </c>
      <c r="BJ487" t="s">
        <v>3249</v>
      </c>
      <c r="BK487" t="s">
        <v>88</v>
      </c>
      <c r="BL487" t="s">
        <v>3250</v>
      </c>
      <c r="BM487" t="s">
        <v>6705</v>
      </c>
      <c r="BN487" t="s">
        <v>74</v>
      </c>
      <c r="BO487" t="s">
        <v>74</v>
      </c>
      <c r="BP487" t="s">
        <v>74</v>
      </c>
      <c r="BQ487" t="s">
        <v>74</v>
      </c>
      <c r="BR487" t="s">
        <v>91</v>
      </c>
      <c r="BS487" t="s">
        <v>6770</v>
      </c>
      <c r="BT487" t="str">
        <f>HYPERLINK("https%3A%2F%2Fwww.webofscience.com%2Fwos%2Fwoscc%2Ffull-record%2FWOS:000171009900007","View Full Record in Web of Science")</f>
        <v>View Full Record in Web of Science</v>
      </c>
    </row>
    <row r="488" spans="1:72" x14ac:dyDescent="0.15">
      <c r="A488" t="s">
        <v>72</v>
      </c>
      <c r="B488" t="s">
        <v>6771</v>
      </c>
      <c r="C488" t="s">
        <v>74</v>
      </c>
      <c r="D488" t="s">
        <v>74</v>
      </c>
      <c r="E488" t="s">
        <v>74</v>
      </c>
      <c r="F488" t="s">
        <v>6771</v>
      </c>
      <c r="G488" t="s">
        <v>74</v>
      </c>
      <c r="H488" t="s">
        <v>74</v>
      </c>
      <c r="I488" t="s">
        <v>6772</v>
      </c>
      <c r="J488" t="s">
        <v>3241</v>
      </c>
      <c r="K488" t="s">
        <v>74</v>
      </c>
      <c r="L488" t="s">
        <v>74</v>
      </c>
      <c r="M488" t="s">
        <v>77</v>
      </c>
      <c r="N488" t="s">
        <v>120</v>
      </c>
      <c r="O488" t="s">
        <v>74</v>
      </c>
      <c r="P488" t="s">
        <v>74</v>
      </c>
      <c r="Q488" t="s">
        <v>74</v>
      </c>
      <c r="R488" t="s">
        <v>74</v>
      </c>
      <c r="S488" t="s">
        <v>74</v>
      </c>
      <c r="T488" t="s">
        <v>6773</v>
      </c>
      <c r="U488" t="s">
        <v>6774</v>
      </c>
      <c r="V488" t="s">
        <v>6775</v>
      </c>
      <c r="W488" t="s">
        <v>6776</v>
      </c>
      <c r="X488" t="s">
        <v>6777</v>
      </c>
      <c r="Y488" t="s">
        <v>6778</v>
      </c>
      <c r="Z488" t="s">
        <v>74</v>
      </c>
      <c r="AA488" t="s">
        <v>6779</v>
      </c>
      <c r="AB488" t="s">
        <v>6780</v>
      </c>
      <c r="AC488" t="s">
        <v>74</v>
      </c>
      <c r="AD488" t="s">
        <v>74</v>
      </c>
      <c r="AE488" t="s">
        <v>74</v>
      </c>
      <c r="AF488" t="s">
        <v>74</v>
      </c>
      <c r="AG488">
        <v>21</v>
      </c>
      <c r="AH488">
        <v>33</v>
      </c>
      <c r="AI488">
        <v>36</v>
      </c>
      <c r="AJ488">
        <v>0</v>
      </c>
      <c r="AK488">
        <v>10</v>
      </c>
      <c r="AL488" t="s">
        <v>1293</v>
      </c>
      <c r="AM488" t="s">
        <v>3243</v>
      </c>
      <c r="AN488" t="s">
        <v>3244</v>
      </c>
      <c r="AO488" t="s">
        <v>3245</v>
      </c>
      <c r="AP488" t="s">
        <v>74</v>
      </c>
      <c r="AQ488" t="s">
        <v>74</v>
      </c>
      <c r="AR488" t="s">
        <v>3246</v>
      </c>
      <c r="AS488" t="s">
        <v>3247</v>
      </c>
      <c r="AT488" t="s">
        <v>6688</v>
      </c>
      <c r="AU488">
        <v>2001</v>
      </c>
      <c r="AV488">
        <v>13</v>
      </c>
      <c r="AW488">
        <v>2</v>
      </c>
      <c r="AX488" t="s">
        <v>74</v>
      </c>
      <c r="AY488" t="s">
        <v>74</v>
      </c>
      <c r="AZ488" t="s">
        <v>74</v>
      </c>
      <c r="BA488" t="s">
        <v>74</v>
      </c>
      <c r="BB488">
        <v>150</v>
      </c>
      <c r="BC488">
        <v>157</v>
      </c>
      <c r="BD488" t="s">
        <v>74</v>
      </c>
      <c r="BE488" t="s">
        <v>6781</v>
      </c>
      <c r="BF488" t="str">
        <f>HYPERLINK("http://dx.doi.org/10.1017/S0954102001000232","http://dx.doi.org/10.1017/S0954102001000232")</f>
        <v>http://dx.doi.org/10.1017/S0954102001000232</v>
      </c>
      <c r="BG488" t="s">
        <v>74</v>
      </c>
      <c r="BH488" t="s">
        <v>74</v>
      </c>
      <c r="BI488">
        <v>8</v>
      </c>
      <c r="BJ488" t="s">
        <v>3249</v>
      </c>
      <c r="BK488" t="s">
        <v>88</v>
      </c>
      <c r="BL488" t="s">
        <v>3250</v>
      </c>
      <c r="BM488" t="s">
        <v>6705</v>
      </c>
      <c r="BN488" t="s">
        <v>74</v>
      </c>
      <c r="BO488" t="s">
        <v>74</v>
      </c>
      <c r="BP488" t="s">
        <v>74</v>
      </c>
      <c r="BQ488" t="s">
        <v>74</v>
      </c>
      <c r="BR488" t="s">
        <v>91</v>
      </c>
      <c r="BS488" t="s">
        <v>6782</v>
      </c>
      <c r="BT488" t="str">
        <f>HYPERLINK("https%3A%2F%2Fwww.webofscience.com%2Fwos%2Fwoscc%2Ffull-record%2FWOS:000171009900008","View Full Record in Web of Science")</f>
        <v>View Full Record in Web of Science</v>
      </c>
    </row>
    <row r="489" spans="1:72" x14ac:dyDescent="0.15">
      <c r="A489" t="s">
        <v>72</v>
      </c>
      <c r="B489" t="s">
        <v>6783</v>
      </c>
      <c r="C489" t="s">
        <v>74</v>
      </c>
      <c r="D489" t="s">
        <v>74</v>
      </c>
      <c r="E489" t="s">
        <v>74</v>
      </c>
      <c r="F489" t="s">
        <v>6783</v>
      </c>
      <c r="G489" t="s">
        <v>74</v>
      </c>
      <c r="H489" t="s">
        <v>74</v>
      </c>
      <c r="I489" t="s">
        <v>6784</v>
      </c>
      <c r="J489" t="s">
        <v>3241</v>
      </c>
      <c r="K489" t="s">
        <v>74</v>
      </c>
      <c r="L489" t="s">
        <v>74</v>
      </c>
      <c r="M489" t="s">
        <v>77</v>
      </c>
      <c r="N489" t="s">
        <v>120</v>
      </c>
      <c r="O489" t="s">
        <v>74</v>
      </c>
      <c r="P489" t="s">
        <v>74</v>
      </c>
      <c r="Q489" t="s">
        <v>74</v>
      </c>
      <c r="R489" t="s">
        <v>74</v>
      </c>
      <c r="S489" t="s">
        <v>74</v>
      </c>
      <c r="T489" t="s">
        <v>6785</v>
      </c>
      <c r="U489" t="s">
        <v>3381</v>
      </c>
      <c r="V489" t="s">
        <v>6786</v>
      </c>
      <c r="W489" t="s">
        <v>6787</v>
      </c>
      <c r="X489" t="s">
        <v>6788</v>
      </c>
      <c r="Y489" t="s">
        <v>6789</v>
      </c>
      <c r="Z489" t="s">
        <v>74</v>
      </c>
      <c r="AA489" t="s">
        <v>74</v>
      </c>
      <c r="AB489" t="s">
        <v>74</v>
      </c>
      <c r="AC489" t="s">
        <v>74</v>
      </c>
      <c r="AD489" t="s">
        <v>74</v>
      </c>
      <c r="AE489" t="s">
        <v>74</v>
      </c>
      <c r="AF489" t="s">
        <v>74</v>
      </c>
      <c r="AG489">
        <v>36</v>
      </c>
      <c r="AH489">
        <v>4</v>
      </c>
      <c r="AI489">
        <v>7</v>
      </c>
      <c r="AJ489">
        <v>0</v>
      </c>
      <c r="AK489">
        <v>1</v>
      </c>
      <c r="AL489" t="s">
        <v>1293</v>
      </c>
      <c r="AM489" t="s">
        <v>3243</v>
      </c>
      <c r="AN489" t="s">
        <v>3244</v>
      </c>
      <c r="AO489" t="s">
        <v>3245</v>
      </c>
      <c r="AP489" t="s">
        <v>74</v>
      </c>
      <c r="AQ489" t="s">
        <v>74</v>
      </c>
      <c r="AR489" t="s">
        <v>3246</v>
      </c>
      <c r="AS489" t="s">
        <v>3247</v>
      </c>
      <c r="AT489" t="s">
        <v>6688</v>
      </c>
      <c r="AU489">
        <v>2001</v>
      </c>
      <c r="AV489">
        <v>13</v>
      </c>
      <c r="AW489">
        <v>2</v>
      </c>
      <c r="AX489" t="s">
        <v>74</v>
      </c>
      <c r="AY489" t="s">
        <v>74</v>
      </c>
      <c r="AZ489" t="s">
        <v>74</v>
      </c>
      <c r="BA489" t="s">
        <v>74</v>
      </c>
      <c r="BB489">
        <v>158</v>
      </c>
      <c r="BC489">
        <v>166</v>
      </c>
      <c r="BD489" t="s">
        <v>74</v>
      </c>
      <c r="BE489" t="s">
        <v>74</v>
      </c>
      <c r="BF489" t="s">
        <v>74</v>
      </c>
      <c r="BG489" t="s">
        <v>74</v>
      </c>
      <c r="BH489" t="s">
        <v>74</v>
      </c>
      <c r="BI489">
        <v>9</v>
      </c>
      <c r="BJ489" t="s">
        <v>3249</v>
      </c>
      <c r="BK489" t="s">
        <v>88</v>
      </c>
      <c r="BL489" t="s">
        <v>3250</v>
      </c>
      <c r="BM489" t="s">
        <v>6705</v>
      </c>
      <c r="BN489" t="s">
        <v>74</v>
      </c>
      <c r="BO489" t="s">
        <v>74</v>
      </c>
      <c r="BP489" t="s">
        <v>74</v>
      </c>
      <c r="BQ489" t="s">
        <v>74</v>
      </c>
      <c r="BR489" t="s">
        <v>91</v>
      </c>
      <c r="BS489" t="s">
        <v>6790</v>
      </c>
      <c r="BT489" t="str">
        <f>HYPERLINK("https%3A%2F%2Fwww.webofscience.com%2Fwos%2Fwoscc%2Ffull-record%2FWOS:000171009900009","View Full Record in Web of Science")</f>
        <v>View Full Record in Web of Science</v>
      </c>
    </row>
    <row r="490" spans="1:72" x14ac:dyDescent="0.15">
      <c r="A490" t="s">
        <v>72</v>
      </c>
      <c r="B490" t="s">
        <v>6791</v>
      </c>
      <c r="C490" t="s">
        <v>74</v>
      </c>
      <c r="D490" t="s">
        <v>74</v>
      </c>
      <c r="E490" t="s">
        <v>74</v>
      </c>
      <c r="F490" t="s">
        <v>6791</v>
      </c>
      <c r="G490" t="s">
        <v>74</v>
      </c>
      <c r="H490" t="s">
        <v>74</v>
      </c>
      <c r="I490" t="s">
        <v>6792</v>
      </c>
      <c r="J490" t="s">
        <v>3241</v>
      </c>
      <c r="K490" t="s">
        <v>74</v>
      </c>
      <c r="L490" t="s">
        <v>74</v>
      </c>
      <c r="M490" t="s">
        <v>77</v>
      </c>
      <c r="N490" t="s">
        <v>120</v>
      </c>
      <c r="O490" t="s">
        <v>74</v>
      </c>
      <c r="P490" t="s">
        <v>74</v>
      </c>
      <c r="Q490" t="s">
        <v>74</v>
      </c>
      <c r="R490" t="s">
        <v>74</v>
      </c>
      <c r="S490" t="s">
        <v>74</v>
      </c>
      <c r="T490" t="s">
        <v>6793</v>
      </c>
      <c r="U490" t="s">
        <v>6794</v>
      </c>
      <c r="V490" t="s">
        <v>6795</v>
      </c>
      <c r="W490" t="s">
        <v>6796</v>
      </c>
      <c r="X490" t="s">
        <v>6797</v>
      </c>
      <c r="Y490" t="s">
        <v>6798</v>
      </c>
      <c r="Z490" t="s">
        <v>6799</v>
      </c>
      <c r="AA490" t="s">
        <v>74</v>
      </c>
      <c r="AB490" t="s">
        <v>74</v>
      </c>
      <c r="AC490" t="s">
        <v>74</v>
      </c>
      <c r="AD490" t="s">
        <v>74</v>
      </c>
      <c r="AE490" t="s">
        <v>74</v>
      </c>
      <c r="AF490" t="s">
        <v>74</v>
      </c>
      <c r="AG490">
        <v>34</v>
      </c>
      <c r="AH490">
        <v>13</v>
      </c>
      <c r="AI490">
        <v>14</v>
      </c>
      <c r="AJ490">
        <v>0</v>
      </c>
      <c r="AK490">
        <v>3</v>
      </c>
      <c r="AL490" t="s">
        <v>1293</v>
      </c>
      <c r="AM490" t="s">
        <v>204</v>
      </c>
      <c r="AN490" t="s">
        <v>1699</v>
      </c>
      <c r="AO490" t="s">
        <v>3245</v>
      </c>
      <c r="AP490" t="s">
        <v>74</v>
      </c>
      <c r="AQ490" t="s">
        <v>74</v>
      </c>
      <c r="AR490" t="s">
        <v>3246</v>
      </c>
      <c r="AS490" t="s">
        <v>3247</v>
      </c>
      <c r="AT490" t="s">
        <v>6688</v>
      </c>
      <c r="AU490">
        <v>2001</v>
      </c>
      <c r="AV490">
        <v>13</v>
      </c>
      <c r="AW490">
        <v>2</v>
      </c>
      <c r="AX490" t="s">
        <v>74</v>
      </c>
      <c r="AY490" t="s">
        <v>74</v>
      </c>
      <c r="AZ490" t="s">
        <v>74</v>
      </c>
      <c r="BA490" t="s">
        <v>74</v>
      </c>
      <c r="BB490">
        <v>167</v>
      </c>
      <c r="BC490">
        <v>173</v>
      </c>
      <c r="BD490" t="s">
        <v>74</v>
      </c>
      <c r="BE490" t="s">
        <v>6800</v>
      </c>
      <c r="BF490" t="str">
        <f>HYPERLINK("http://dx.doi.org/10.1017/S0954102001000256","http://dx.doi.org/10.1017/S0954102001000256")</f>
        <v>http://dx.doi.org/10.1017/S0954102001000256</v>
      </c>
      <c r="BG490" t="s">
        <v>74</v>
      </c>
      <c r="BH490" t="s">
        <v>74</v>
      </c>
      <c r="BI490">
        <v>7</v>
      </c>
      <c r="BJ490" t="s">
        <v>3249</v>
      </c>
      <c r="BK490" t="s">
        <v>88</v>
      </c>
      <c r="BL490" t="s">
        <v>3250</v>
      </c>
      <c r="BM490" t="s">
        <v>6705</v>
      </c>
      <c r="BN490" t="s">
        <v>74</v>
      </c>
      <c r="BO490" t="s">
        <v>74</v>
      </c>
      <c r="BP490" t="s">
        <v>74</v>
      </c>
      <c r="BQ490" t="s">
        <v>74</v>
      </c>
      <c r="BR490" t="s">
        <v>91</v>
      </c>
      <c r="BS490" t="s">
        <v>6801</v>
      </c>
      <c r="BT490" t="str">
        <f>HYPERLINK("https%3A%2F%2Fwww.webofscience.com%2Fwos%2Fwoscc%2Ffull-record%2FWOS:000171009900010","View Full Record in Web of Science")</f>
        <v>View Full Record in Web of Science</v>
      </c>
    </row>
    <row r="491" spans="1:72" x14ac:dyDescent="0.15">
      <c r="A491" t="s">
        <v>72</v>
      </c>
      <c r="B491" t="s">
        <v>6802</v>
      </c>
      <c r="C491" t="s">
        <v>74</v>
      </c>
      <c r="D491" t="s">
        <v>74</v>
      </c>
      <c r="E491" t="s">
        <v>74</v>
      </c>
      <c r="F491" t="s">
        <v>6802</v>
      </c>
      <c r="G491" t="s">
        <v>74</v>
      </c>
      <c r="H491" t="s">
        <v>74</v>
      </c>
      <c r="I491" t="s">
        <v>6803</v>
      </c>
      <c r="J491" t="s">
        <v>3241</v>
      </c>
      <c r="K491" t="s">
        <v>74</v>
      </c>
      <c r="L491" t="s">
        <v>74</v>
      </c>
      <c r="M491" t="s">
        <v>77</v>
      </c>
      <c r="N491" t="s">
        <v>120</v>
      </c>
      <c r="O491" t="s">
        <v>74</v>
      </c>
      <c r="P491" t="s">
        <v>74</v>
      </c>
      <c r="Q491" t="s">
        <v>74</v>
      </c>
      <c r="R491" t="s">
        <v>74</v>
      </c>
      <c r="S491" t="s">
        <v>74</v>
      </c>
      <c r="T491" t="s">
        <v>6804</v>
      </c>
      <c r="U491" t="s">
        <v>6805</v>
      </c>
      <c r="V491" t="s">
        <v>6806</v>
      </c>
      <c r="W491" t="s">
        <v>6807</v>
      </c>
      <c r="X491" t="s">
        <v>6531</v>
      </c>
      <c r="Y491" t="s">
        <v>6808</v>
      </c>
      <c r="Z491" t="s">
        <v>6809</v>
      </c>
      <c r="AA491" t="s">
        <v>6810</v>
      </c>
      <c r="AB491" t="s">
        <v>6811</v>
      </c>
      <c r="AC491" t="s">
        <v>74</v>
      </c>
      <c r="AD491" t="s">
        <v>74</v>
      </c>
      <c r="AE491" t="s">
        <v>74</v>
      </c>
      <c r="AF491" t="s">
        <v>74</v>
      </c>
      <c r="AG491">
        <v>63</v>
      </c>
      <c r="AH491">
        <v>23</v>
      </c>
      <c r="AI491">
        <v>24</v>
      </c>
      <c r="AJ491">
        <v>0</v>
      </c>
      <c r="AK491">
        <v>7</v>
      </c>
      <c r="AL491" t="s">
        <v>1293</v>
      </c>
      <c r="AM491" t="s">
        <v>204</v>
      </c>
      <c r="AN491" t="s">
        <v>1699</v>
      </c>
      <c r="AO491" t="s">
        <v>3245</v>
      </c>
      <c r="AP491" t="s">
        <v>3315</v>
      </c>
      <c r="AQ491" t="s">
        <v>74</v>
      </c>
      <c r="AR491" t="s">
        <v>3246</v>
      </c>
      <c r="AS491" t="s">
        <v>3247</v>
      </c>
      <c r="AT491" t="s">
        <v>6688</v>
      </c>
      <c r="AU491">
        <v>2001</v>
      </c>
      <c r="AV491">
        <v>13</v>
      </c>
      <c r="AW491">
        <v>2</v>
      </c>
      <c r="AX491" t="s">
        <v>74</v>
      </c>
      <c r="AY491" t="s">
        <v>74</v>
      </c>
      <c r="AZ491" t="s">
        <v>74</v>
      </c>
      <c r="BA491" t="s">
        <v>74</v>
      </c>
      <c r="BB491">
        <v>174</v>
      </c>
      <c r="BC491">
        <v>181</v>
      </c>
      <c r="BD491" t="s">
        <v>74</v>
      </c>
      <c r="BE491" t="s">
        <v>6812</v>
      </c>
      <c r="BF491" t="str">
        <f>HYPERLINK("http://dx.doi.org/10.1017/S0954102001000268","http://dx.doi.org/10.1017/S0954102001000268")</f>
        <v>http://dx.doi.org/10.1017/S0954102001000268</v>
      </c>
      <c r="BG491" t="s">
        <v>74</v>
      </c>
      <c r="BH491" t="s">
        <v>74</v>
      </c>
      <c r="BI491">
        <v>8</v>
      </c>
      <c r="BJ491" t="s">
        <v>3249</v>
      </c>
      <c r="BK491" t="s">
        <v>88</v>
      </c>
      <c r="BL491" t="s">
        <v>3250</v>
      </c>
      <c r="BM491" t="s">
        <v>6705</v>
      </c>
      <c r="BN491" t="s">
        <v>74</v>
      </c>
      <c r="BO491" t="s">
        <v>74</v>
      </c>
      <c r="BP491" t="s">
        <v>74</v>
      </c>
      <c r="BQ491" t="s">
        <v>74</v>
      </c>
      <c r="BR491" t="s">
        <v>91</v>
      </c>
      <c r="BS491" t="s">
        <v>6813</v>
      </c>
      <c r="BT491" t="str">
        <f>HYPERLINK("https%3A%2F%2Fwww.webofscience.com%2Fwos%2Fwoscc%2Ffull-record%2FWOS:000171009900011","View Full Record in Web of Science")</f>
        <v>View Full Record in Web of Science</v>
      </c>
    </row>
    <row r="492" spans="1:72" x14ac:dyDescent="0.15">
      <c r="A492" t="s">
        <v>72</v>
      </c>
      <c r="B492" t="s">
        <v>6814</v>
      </c>
      <c r="C492" t="s">
        <v>74</v>
      </c>
      <c r="D492" t="s">
        <v>74</v>
      </c>
      <c r="E492" t="s">
        <v>74</v>
      </c>
      <c r="F492" t="s">
        <v>6814</v>
      </c>
      <c r="G492" t="s">
        <v>74</v>
      </c>
      <c r="H492" t="s">
        <v>74</v>
      </c>
      <c r="I492" t="s">
        <v>6815</v>
      </c>
      <c r="J492" t="s">
        <v>3241</v>
      </c>
      <c r="K492" t="s">
        <v>74</v>
      </c>
      <c r="L492" t="s">
        <v>74</v>
      </c>
      <c r="M492" t="s">
        <v>77</v>
      </c>
      <c r="N492" t="s">
        <v>120</v>
      </c>
      <c r="O492" t="s">
        <v>74</v>
      </c>
      <c r="P492" t="s">
        <v>74</v>
      </c>
      <c r="Q492" t="s">
        <v>74</v>
      </c>
      <c r="R492" t="s">
        <v>74</v>
      </c>
      <c r="S492" t="s">
        <v>74</v>
      </c>
      <c r="T492" t="s">
        <v>6816</v>
      </c>
      <c r="U492" t="s">
        <v>6817</v>
      </c>
      <c r="V492" t="s">
        <v>6818</v>
      </c>
      <c r="W492" t="s">
        <v>6819</v>
      </c>
      <c r="X492" t="s">
        <v>6820</v>
      </c>
      <c r="Y492" t="s">
        <v>1724</v>
      </c>
      <c r="Z492" t="s">
        <v>74</v>
      </c>
      <c r="AA492" t="s">
        <v>6821</v>
      </c>
      <c r="AB492" t="s">
        <v>6822</v>
      </c>
      <c r="AC492" t="s">
        <v>74</v>
      </c>
      <c r="AD492" t="s">
        <v>74</v>
      </c>
      <c r="AE492" t="s">
        <v>74</v>
      </c>
      <c r="AF492" t="s">
        <v>74</v>
      </c>
      <c r="AG492">
        <v>11</v>
      </c>
      <c r="AH492">
        <v>8</v>
      </c>
      <c r="AI492">
        <v>9</v>
      </c>
      <c r="AJ492">
        <v>2</v>
      </c>
      <c r="AK492">
        <v>7</v>
      </c>
      <c r="AL492" t="s">
        <v>1293</v>
      </c>
      <c r="AM492" t="s">
        <v>204</v>
      </c>
      <c r="AN492" t="s">
        <v>1699</v>
      </c>
      <c r="AO492" t="s">
        <v>3245</v>
      </c>
      <c r="AP492" t="s">
        <v>3315</v>
      </c>
      <c r="AQ492" t="s">
        <v>74</v>
      </c>
      <c r="AR492" t="s">
        <v>3246</v>
      </c>
      <c r="AS492" t="s">
        <v>3247</v>
      </c>
      <c r="AT492" t="s">
        <v>6688</v>
      </c>
      <c r="AU492">
        <v>2001</v>
      </c>
      <c r="AV492">
        <v>13</v>
      </c>
      <c r="AW492">
        <v>2</v>
      </c>
      <c r="AX492" t="s">
        <v>74</v>
      </c>
      <c r="AY492" t="s">
        <v>74</v>
      </c>
      <c r="AZ492" t="s">
        <v>74</v>
      </c>
      <c r="BA492" t="s">
        <v>74</v>
      </c>
      <c r="BB492">
        <v>182</v>
      </c>
      <c r="BC492">
        <v>187</v>
      </c>
      <c r="BD492" t="s">
        <v>74</v>
      </c>
      <c r="BE492" t="s">
        <v>6823</v>
      </c>
      <c r="BF492" t="str">
        <f>HYPERLINK("http://dx.doi.org/10.1017/S095410200100027X","http://dx.doi.org/10.1017/S095410200100027X")</f>
        <v>http://dx.doi.org/10.1017/S095410200100027X</v>
      </c>
      <c r="BG492" t="s">
        <v>74</v>
      </c>
      <c r="BH492" t="s">
        <v>74</v>
      </c>
      <c r="BI492">
        <v>6</v>
      </c>
      <c r="BJ492" t="s">
        <v>3249</v>
      </c>
      <c r="BK492" t="s">
        <v>88</v>
      </c>
      <c r="BL492" t="s">
        <v>3250</v>
      </c>
      <c r="BM492" t="s">
        <v>6705</v>
      </c>
      <c r="BN492" t="s">
        <v>74</v>
      </c>
      <c r="BO492" t="s">
        <v>74</v>
      </c>
      <c r="BP492" t="s">
        <v>74</v>
      </c>
      <c r="BQ492" t="s">
        <v>74</v>
      </c>
      <c r="BR492" t="s">
        <v>91</v>
      </c>
      <c r="BS492" t="s">
        <v>6824</v>
      </c>
      <c r="BT492" t="str">
        <f>HYPERLINK("https%3A%2F%2Fwww.webofscience.com%2Fwos%2Fwoscc%2Ffull-record%2FWOS:000171009900012","View Full Record in Web of Science")</f>
        <v>View Full Record in Web of Science</v>
      </c>
    </row>
    <row r="493" spans="1:72" x14ac:dyDescent="0.15">
      <c r="A493" t="s">
        <v>72</v>
      </c>
      <c r="B493" t="s">
        <v>6825</v>
      </c>
      <c r="C493" t="s">
        <v>74</v>
      </c>
      <c r="D493" t="s">
        <v>74</v>
      </c>
      <c r="E493" t="s">
        <v>74</v>
      </c>
      <c r="F493" t="s">
        <v>6825</v>
      </c>
      <c r="G493" t="s">
        <v>74</v>
      </c>
      <c r="H493" t="s">
        <v>74</v>
      </c>
      <c r="I493" t="s">
        <v>6826</v>
      </c>
      <c r="J493" t="s">
        <v>3241</v>
      </c>
      <c r="K493" t="s">
        <v>74</v>
      </c>
      <c r="L493" t="s">
        <v>74</v>
      </c>
      <c r="M493" t="s">
        <v>77</v>
      </c>
      <c r="N493" t="s">
        <v>120</v>
      </c>
      <c r="O493" t="s">
        <v>74</v>
      </c>
      <c r="P493" t="s">
        <v>74</v>
      </c>
      <c r="Q493" t="s">
        <v>74</v>
      </c>
      <c r="R493" t="s">
        <v>74</v>
      </c>
      <c r="S493" t="s">
        <v>74</v>
      </c>
      <c r="T493" t="s">
        <v>6827</v>
      </c>
      <c r="U493" t="s">
        <v>6828</v>
      </c>
      <c r="V493" t="s">
        <v>6829</v>
      </c>
      <c r="W493" t="s">
        <v>461</v>
      </c>
      <c r="X493" t="s">
        <v>462</v>
      </c>
      <c r="Y493" t="s">
        <v>3374</v>
      </c>
      <c r="Z493" t="s">
        <v>74</v>
      </c>
      <c r="AA493" t="s">
        <v>74</v>
      </c>
      <c r="AB493" t="s">
        <v>74</v>
      </c>
      <c r="AC493" t="s">
        <v>74</v>
      </c>
      <c r="AD493" t="s">
        <v>74</v>
      </c>
      <c r="AE493" t="s">
        <v>74</v>
      </c>
      <c r="AF493" t="s">
        <v>74</v>
      </c>
      <c r="AG493">
        <v>70</v>
      </c>
      <c r="AH493">
        <v>76</v>
      </c>
      <c r="AI493">
        <v>82</v>
      </c>
      <c r="AJ493">
        <v>0</v>
      </c>
      <c r="AK493">
        <v>6</v>
      </c>
      <c r="AL493" t="s">
        <v>1293</v>
      </c>
      <c r="AM493" t="s">
        <v>204</v>
      </c>
      <c r="AN493" t="s">
        <v>1699</v>
      </c>
      <c r="AO493" t="s">
        <v>3245</v>
      </c>
      <c r="AP493" t="s">
        <v>3315</v>
      </c>
      <c r="AQ493" t="s">
        <v>74</v>
      </c>
      <c r="AR493" t="s">
        <v>3246</v>
      </c>
      <c r="AS493" t="s">
        <v>3247</v>
      </c>
      <c r="AT493" t="s">
        <v>6688</v>
      </c>
      <c r="AU493">
        <v>2001</v>
      </c>
      <c r="AV493">
        <v>13</v>
      </c>
      <c r="AW493">
        <v>2</v>
      </c>
      <c r="AX493" t="s">
        <v>74</v>
      </c>
      <c r="AY493" t="s">
        <v>74</v>
      </c>
      <c r="AZ493" t="s">
        <v>74</v>
      </c>
      <c r="BA493" t="s">
        <v>74</v>
      </c>
      <c r="BB493">
        <v>188</v>
      </c>
      <c r="BC493">
        <v>209</v>
      </c>
      <c r="BD493" t="s">
        <v>74</v>
      </c>
      <c r="BE493" t="s">
        <v>6830</v>
      </c>
      <c r="BF493" t="str">
        <f>HYPERLINK("http://dx.doi.org/10.1017/S0954102001000281","http://dx.doi.org/10.1017/S0954102001000281")</f>
        <v>http://dx.doi.org/10.1017/S0954102001000281</v>
      </c>
      <c r="BG493" t="s">
        <v>74</v>
      </c>
      <c r="BH493" t="s">
        <v>74</v>
      </c>
      <c r="BI493">
        <v>22</v>
      </c>
      <c r="BJ493" t="s">
        <v>3249</v>
      </c>
      <c r="BK493" t="s">
        <v>88</v>
      </c>
      <c r="BL493" t="s">
        <v>3250</v>
      </c>
      <c r="BM493" t="s">
        <v>6705</v>
      </c>
      <c r="BN493" t="s">
        <v>74</v>
      </c>
      <c r="BO493" t="s">
        <v>74</v>
      </c>
      <c r="BP493" t="s">
        <v>74</v>
      </c>
      <c r="BQ493" t="s">
        <v>74</v>
      </c>
      <c r="BR493" t="s">
        <v>91</v>
      </c>
      <c r="BS493" t="s">
        <v>6831</v>
      </c>
      <c r="BT493" t="str">
        <f>HYPERLINK("https%3A%2F%2Fwww.webofscience.com%2Fwos%2Fwoscc%2Ffull-record%2FWOS:000171009900013","View Full Record in Web of Science")</f>
        <v>View Full Record in Web of Science</v>
      </c>
    </row>
    <row r="494" spans="1:72" x14ac:dyDescent="0.15">
      <c r="A494" t="s">
        <v>72</v>
      </c>
      <c r="B494" t="s">
        <v>6832</v>
      </c>
      <c r="C494" t="s">
        <v>74</v>
      </c>
      <c r="D494" t="s">
        <v>74</v>
      </c>
      <c r="E494" t="s">
        <v>74</v>
      </c>
      <c r="F494" t="s">
        <v>6832</v>
      </c>
      <c r="G494" t="s">
        <v>74</v>
      </c>
      <c r="H494" t="s">
        <v>74</v>
      </c>
      <c r="I494" t="s">
        <v>6833</v>
      </c>
      <c r="J494" t="s">
        <v>3241</v>
      </c>
      <c r="K494" t="s">
        <v>74</v>
      </c>
      <c r="L494" t="s">
        <v>74</v>
      </c>
      <c r="M494" t="s">
        <v>77</v>
      </c>
      <c r="N494" t="s">
        <v>120</v>
      </c>
      <c r="O494" t="s">
        <v>74</v>
      </c>
      <c r="P494" t="s">
        <v>74</v>
      </c>
      <c r="Q494" t="s">
        <v>74</v>
      </c>
      <c r="R494" t="s">
        <v>74</v>
      </c>
      <c r="S494" t="s">
        <v>74</v>
      </c>
      <c r="T494" t="s">
        <v>6834</v>
      </c>
      <c r="U494" t="s">
        <v>6835</v>
      </c>
      <c r="V494" t="s">
        <v>6836</v>
      </c>
      <c r="W494" t="s">
        <v>6837</v>
      </c>
      <c r="X494" t="s">
        <v>2857</v>
      </c>
      <c r="Y494" t="s">
        <v>6838</v>
      </c>
      <c r="Z494" t="s">
        <v>74</v>
      </c>
      <c r="AA494" t="s">
        <v>6839</v>
      </c>
      <c r="AB494" t="s">
        <v>6840</v>
      </c>
      <c r="AC494" t="s">
        <v>74</v>
      </c>
      <c r="AD494" t="s">
        <v>74</v>
      </c>
      <c r="AE494" t="s">
        <v>74</v>
      </c>
      <c r="AF494" t="s">
        <v>74</v>
      </c>
      <c r="AG494">
        <v>26</v>
      </c>
      <c r="AH494">
        <v>49</v>
      </c>
      <c r="AI494">
        <v>49</v>
      </c>
      <c r="AJ494">
        <v>0</v>
      </c>
      <c r="AK494">
        <v>7</v>
      </c>
      <c r="AL494" t="s">
        <v>1293</v>
      </c>
      <c r="AM494" t="s">
        <v>3243</v>
      </c>
      <c r="AN494" t="s">
        <v>3244</v>
      </c>
      <c r="AO494" t="s">
        <v>3245</v>
      </c>
      <c r="AP494" t="s">
        <v>74</v>
      </c>
      <c r="AQ494" t="s">
        <v>74</v>
      </c>
      <c r="AR494" t="s">
        <v>3246</v>
      </c>
      <c r="AS494" t="s">
        <v>3247</v>
      </c>
      <c r="AT494" t="s">
        <v>6688</v>
      </c>
      <c r="AU494">
        <v>2001</v>
      </c>
      <c r="AV494">
        <v>13</v>
      </c>
      <c r="AW494">
        <v>2</v>
      </c>
      <c r="AX494" t="s">
        <v>74</v>
      </c>
      <c r="AY494" t="s">
        <v>74</v>
      </c>
      <c r="AZ494" t="s">
        <v>74</v>
      </c>
      <c r="BA494" t="s">
        <v>74</v>
      </c>
      <c r="BB494">
        <v>210</v>
      </c>
      <c r="BC494">
        <v>220</v>
      </c>
      <c r="BD494" t="s">
        <v>74</v>
      </c>
      <c r="BE494" t="s">
        <v>6841</v>
      </c>
      <c r="BF494" t="str">
        <f>HYPERLINK("http://dx.doi.org/10.1017/S0954102001000293","http://dx.doi.org/10.1017/S0954102001000293")</f>
        <v>http://dx.doi.org/10.1017/S0954102001000293</v>
      </c>
      <c r="BG494" t="s">
        <v>74</v>
      </c>
      <c r="BH494" t="s">
        <v>74</v>
      </c>
      <c r="BI494">
        <v>11</v>
      </c>
      <c r="BJ494" t="s">
        <v>3249</v>
      </c>
      <c r="BK494" t="s">
        <v>88</v>
      </c>
      <c r="BL494" t="s">
        <v>3250</v>
      </c>
      <c r="BM494" t="s">
        <v>6705</v>
      </c>
      <c r="BN494" t="s">
        <v>74</v>
      </c>
      <c r="BO494" t="s">
        <v>74</v>
      </c>
      <c r="BP494" t="s">
        <v>74</v>
      </c>
      <c r="BQ494" t="s">
        <v>74</v>
      </c>
      <c r="BR494" t="s">
        <v>91</v>
      </c>
      <c r="BS494" t="s">
        <v>6842</v>
      </c>
      <c r="BT494" t="str">
        <f>HYPERLINK("https%3A%2F%2Fwww.webofscience.com%2Fwos%2Fwoscc%2Ffull-record%2FWOS:000171009900014","View Full Record in Web of Science")</f>
        <v>View Full Record in Web of Science</v>
      </c>
    </row>
    <row r="495" spans="1:72" x14ac:dyDescent="0.15">
      <c r="A495" t="s">
        <v>72</v>
      </c>
      <c r="B495" t="s">
        <v>6843</v>
      </c>
      <c r="C495" t="s">
        <v>74</v>
      </c>
      <c r="D495" t="s">
        <v>74</v>
      </c>
      <c r="E495" t="s">
        <v>74</v>
      </c>
      <c r="F495" t="s">
        <v>6844</v>
      </c>
      <c r="G495" t="s">
        <v>74</v>
      </c>
      <c r="H495" t="s">
        <v>74</v>
      </c>
      <c r="I495" t="s">
        <v>6845</v>
      </c>
      <c r="J495" t="s">
        <v>6846</v>
      </c>
      <c r="K495" t="s">
        <v>74</v>
      </c>
      <c r="L495" t="s">
        <v>74</v>
      </c>
      <c r="M495" t="s">
        <v>77</v>
      </c>
      <c r="N495" t="s">
        <v>120</v>
      </c>
      <c r="O495" t="s">
        <v>74</v>
      </c>
      <c r="P495" t="s">
        <v>74</v>
      </c>
      <c r="Q495" t="s">
        <v>74</v>
      </c>
      <c r="R495" t="s">
        <v>74</v>
      </c>
      <c r="S495" t="s">
        <v>74</v>
      </c>
      <c r="T495" t="s">
        <v>6847</v>
      </c>
      <c r="U495" t="s">
        <v>74</v>
      </c>
      <c r="V495" t="s">
        <v>6848</v>
      </c>
      <c r="W495" t="s">
        <v>6849</v>
      </c>
      <c r="X495" t="s">
        <v>6850</v>
      </c>
      <c r="Y495" t="s">
        <v>6851</v>
      </c>
      <c r="Z495" t="s">
        <v>6852</v>
      </c>
      <c r="AA495" t="s">
        <v>6853</v>
      </c>
      <c r="AB495" t="s">
        <v>6854</v>
      </c>
      <c r="AC495" t="s">
        <v>6855</v>
      </c>
      <c r="AD495" t="s">
        <v>6856</v>
      </c>
      <c r="AE495" t="s">
        <v>6857</v>
      </c>
      <c r="AF495" t="s">
        <v>74</v>
      </c>
      <c r="AG495">
        <v>118</v>
      </c>
      <c r="AH495">
        <v>16</v>
      </c>
      <c r="AI495">
        <v>17</v>
      </c>
      <c r="AJ495">
        <v>0</v>
      </c>
      <c r="AK495">
        <v>4</v>
      </c>
      <c r="AL495" t="s">
        <v>6858</v>
      </c>
      <c r="AM495" t="s">
        <v>6859</v>
      </c>
      <c r="AN495" t="s">
        <v>6860</v>
      </c>
      <c r="AO495" t="s">
        <v>6861</v>
      </c>
      <c r="AP495" t="s">
        <v>6862</v>
      </c>
      <c r="AQ495" t="s">
        <v>74</v>
      </c>
      <c r="AR495" t="s">
        <v>6846</v>
      </c>
      <c r="AS495" t="s">
        <v>6863</v>
      </c>
      <c r="AT495" t="s">
        <v>6688</v>
      </c>
      <c r="AU495">
        <v>2001</v>
      </c>
      <c r="AV495">
        <v>1</v>
      </c>
      <c r="AW495">
        <v>2</v>
      </c>
      <c r="AX495" t="s">
        <v>74</v>
      </c>
      <c r="AY495" t="s">
        <v>74</v>
      </c>
      <c r="AZ495" t="s">
        <v>74</v>
      </c>
      <c r="BA495" t="s">
        <v>74</v>
      </c>
      <c r="BB495">
        <v>165</v>
      </c>
      <c r="BC495">
        <v>184</v>
      </c>
      <c r="BD495" t="s">
        <v>74</v>
      </c>
      <c r="BE495" t="s">
        <v>6864</v>
      </c>
      <c r="BF495" t="str">
        <f>HYPERLINK("http://dx.doi.org/10.1089/153110701753198936","http://dx.doi.org/10.1089/153110701753198936")</f>
        <v>http://dx.doi.org/10.1089/153110701753198936</v>
      </c>
      <c r="BG495" t="s">
        <v>74</v>
      </c>
      <c r="BH495" t="s">
        <v>74</v>
      </c>
      <c r="BI495">
        <v>20</v>
      </c>
      <c r="BJ495" t="s">
        <v>6865</v>
      </c>
      <c r="BK495" t="s">
        <v>88</v>
      </c>
      <c r="BL495" t="s">
        <v>6866</v>
      </c>
      <c r="BM495" t="s">
        <v>6867</v>
      </c>
      <c r="BN495">
        <v>12467120</v>
      </c>
      <c r="BO495" t="s">
        <v>74</v>
      </c>
      <c r="BP495" t="s">
        <v>74</v>
      </c>
      <c r="BQ495" t="s">
        <v>74</v>
      </c>
      <c r="BR495" t="s">
        <v>91</v>
      </c>
      <c r="BS495" t="s">
        <v>6868</v>
      </c>
      <c r="BT495" t="str">
        <f>HYPERLINK("https%3A%2F%2Fwww.webofscience.com%2Fwos%2Fwoscc%2Ffull-record%2FWOS:000209363000005","View Full Record in Web of Science")</f>
        <v>View Full Record in Web of Science</v>
      </c>
    </row>
    <row r="496" spans="1:72" x14ac:dyDescent="0.15">
      <c r="A496" t="s">
        <v>72</v>
      </c>
      <c r="B496" t="s">
        <v>6869</v>
      </c>
      <c r="C496" t="s">
        <v>74</v>
      </c>
      <c r="D496" t="s">
        <v>74</v>
      </c>
      <c r="E496" t="s">
        <v>74</v>
      </c>
      <c r="F496" t="s">
        <v>6869</v>
      </c>
      <c r="G496" t="s">
        <v>74</v>
      </c>
      <c r="H496" t="s">
        <v>74</v>
      </c>
      <c r="I496" t="s">
        <v>6870</v>
      </c>
      <c r="J496" t="s">
        <v>6871</v>
      </c>
      <c r="K496" t="s">
        <v>74</v>
      </c>
      <c r="L496" t="s">
        <v>74</v>
      </c>
      <c r="M496" t="s">
        <v>77</v>
      </c>
      <c r="N496" t="s">
        <v>120</v>
      </c>
      <c r="O496" t="s">
        <v>74</v>
      </c>
      <c r="P496" t="s">
        <v>74</v>
      </c>
      <c r="Q496" t="s">
        <v>74</v>
      </c>
      <c r="R496" t="s">
        <v>74</v>
      </c>
      <c r="S496" t="s">
        <v>74</v>
      </c>
      <c r="T496" t="s">
        <v>6872</v>
      </c>
      <c r="U496" t="s">
        <v>6873</v>
      </c>
      <c r="V496" t="s">
        <v>6874</v>
      </c>
      <c r="W496" t="s">
        <v>6875</v>
      </c>
      <c r="X496" t="s">
        <v>419</v>
      </c>
      <c r="Y496" t="s">
        <v>6876</v>
      </c>
      <c r="Z496" t="s">
        <v>74</v>
      </c>
      <c r="AA496" t="s">
        <v>6877</v>
      </c>
      <c r="AB496" t="s">
        <v>6878</v>
      </c>
      <c r="AC496" t="s">
        <v>74</v>
      </c>
      <c r="AD496" t="s">
        <v>74</v>
      </c>
      <c r="AE496" t="s">
        <v>74</v>
      </c>
      <c r="AF496" t="s">
        <v>74</v>
      </c>
      <c r="AG496">
        <v>73</v>
      </c>
      <c r="AH496">
        <v>22</v>
      </c>
      <c r="AI496">
        <v>27</v>
      </c>
      <c r="AJ496">
        <v>0</v>
      </c>
      <c r="AK496">
        <v>7</v>
      </c>
      <c r="AL496" t="s">
        <v>1267</v>
      </c>
      <c r="AM496" t="s">
        <v>683</v>
      </c>
      <c r="AN496" t="s">
        <v>1268</v>
      </c>
      <c r="AO496" t="s">
        <v>6879</v>
      </c>
      <c r="AP496" t="s">
        <v>74</v>
      </c>
      <c r="AQ496" t="s">
        <v>74</v>
      </c>
      <c r="AR496" t="s">
        <v>6880</v>
      </c>
      <c r="AS496" t="s">
        <v>6881</v>
      </c>
      <c r="AT496" t="s">
        <v>6688</v>
      </c>
      <c r="AU496">
        <v>2001</v>
      </c>
      <c r="AV496">
        <v>73</v>
      </c>
      <c r="AW496">
        <v>2</v>
      </c>
      <c r="AX496" t="s">
        <v>74</v>
      </c>
      <c r="AY496" t="s">
        <v>74</v>
      </c>
      <c r="AZ496" t="s">
        <v>74</v>
      </c>
      <c r="BA496" t="s">
        <v>74</v>
      </c>
      <c r="BB496">
        <v>199</v>
      </c>
      <c r="BC496">
        <v>212</v>
      </c>
      <c r="BD496" t="s">
        <v>74</v>
      </c>
      <c r="BE496" t="s">
        <v>6882</v>
      </c>
      <c r="BF496" t="str">
        <f>HYPERLINK("http://dx.doi.org/10.1006/bjls.2001.0538","http://dx.doi.org/10.1006/bjls.2001.0538")</f>
        <v>http://dx.doi.org/10.1006/bjls.2001.0538</v>
      </c>
      <c r="BG496" t="s">
        <v>74</v>
      </c>
      <c r="BH496" t="s">
        <v>74</v>
      </c>
      <c r="BI496">
        <v>14</v>
      </c>
      <c r="BJ496" t="s">
        <v>6883</v>
      </c>
      <c r="BK496" t="s">
        <v>88</v>
      </c>
      <c r="BL496" t="s">
        <v>6883</v>
      </c>
      <c r="BM496" t="s">
        <v>6884</v>
      </c>
      <c r="BN496" t="s">
        <v>74</v>
      </c>
      <c r="BO496" t="s">
        <v>74</v>
      </c>
      <c r="BP496" t="s">
        <v>74</v>
      </c>
      <c r="BQ496" t="s">
        <v>74</v>
      </c>
      <c r="BR496" t="s">
        <v>91</v>
      </c>
      <c r="BS496" t="s">
        <v>6885</v>
      </c>
      <c r="BT496" t="str">
        <f>HYPERLINK("https%3A%2F%2Fwww.webofscience.com%2Fwos%2Fwoscc%2Ffull-record%2FWOS:000169834800003","View Full Record in Web of Science")</f>
        <v>View Full Record in Web of Science</v>
      </c>
    </row>
    <row r="497" spans="1:72" x14ac:dyDescent="0.15">
      <c r="A497" t="s">
        <v>72</v>
      </c>
      <c r="B497" t="s">
        <v>6886</v>
      </c>
      <c r="C497" t="s">
        <v>74</v>
      </c>
      <c r="D497" t="s">
        <v>74</v>
      </c>
      <c r="E497" t="s">
        <v>74</v>
      </c>
      <c r="F497" t="s">
        <v>6886</v>
      </c>
      <c r="G497" t="s">
        <v>74</v>
      </c>
      <c r="H497" t="s">
        <v>74</v>
      </c>
      <c r="I497" t="s">
        <v>6887</v>
      </c>
      <c r="J497" t="s">
        <v>6888</v>
      </c>
      <c r="K497" t="s">
        <v>74</v>
      </c>
      <c r="L497" t="s">
        <v>74</v>
      </c>
      <c r="M497" t="s">
        <v>77</v>
      </c>
      <c r="N497" t="s">
        <v>120</v>
      </c>
      <c r="O497" t="s">
        <v>74</v>
      </c>
      <c r="P497" t="s">
        <v>74</v>
      </c>
      <c r="Q497" t="s">
        <v>74</v>
      </c>
      <c r="R497" t="s">
        <v>74</v>
      </c>
      <c r="S497" t="s">
        <v>74</v>
      </c>
      <c r="T497" t="s">
        <v>74</v>
      </c>
      <c r="U497" t="s">
        <v>6889</v>
      </c>
      <c r="V497" t="s">
        <v>6890</v>
      </c>
      <c r="W497" t="s">
        <v>6891</v>
      </c>
      <c r="X497" t="s">
        <v>6892</v>
      </c>
      <c r="Y497" t="s">
        <v>6893</v>
      </c>
      <c r="Z497" t="s">
        <v>74</v>
      </c>
      <c r="AA497" t="s">
        <v>6894</v>
      </c>
      <c r="AB497" t="s">
        <v>6895</v>
      </c>
      <c r="AC497" t="s">
        <v>74</v>
      </c>
      <c r="AD497" t="s">
        <v>74</v>
      </c>
      <c r="AE497" t="s">
        <v>74</v>
      </c>
      <c r="AF497" t="s">
        <v>74</v>
      </c>
      <c r="AG497">
        <v>42</v>
      </c>
      <c r="AH497">
        <v>58</v>
      </c>
      <c r="AI497">
        <v>73</v>
      </c>
      <c r="AJ497">
        <v>0</v>
      </c>
      <c r="AK497">
        <v>18</v>
      </c>
      <c r="AL497" t="s">
        <v>6896</v>
      </c>
      <c r="AM497" t="s">
        <v>6897</v>
      </c>
      <c r="AN497" t="s">
        <v>6898</v>
      </c>
      <c r="AO497" t="s">
        <v>6899</v>
      </c>
      <c r="AP497" t="s">
        <v>74</v>
      </c>
      <c r="AQ497" t="s">
        <v>74</v>
      </c>
      <c r="AR497" t="s">
        <v>6888</v>
      </c>
      <c r="AS497" t="s">
        <v>6900</v>
      </c>
      <c r="AT497" t="s">
        <v>6688</v>
      </c>
      <c r="AU497">
        <v>2001</v>
      </c>
      <c r="AV497">
        <v>30</v>
      </c>
      <c r="AW497">
        <v>2</v>
      </c>
      <c r="AX497" t="s">
        <v>74</v>
      </c>
      <c r="AY497" t="s">
        <v>74</v>
      </c>
      <c r="AZ497" t="s">
        <v>74</v>
      </c>
      <c r="BA497" t="s">
        <v>74</v>
      </c>
      <c r="BB497">
        <v>101</v>
      </c>
      <c r="BC497">
        <v>114</v>
      </c>
      <c r="BD497" t="s">
        <v>74</v>
      </c>
      <c r="BE497" t="s">
        <v>6901</v>
      </c>
      <c r="BF497" t="str">
        <f>HYPERLINK("http://dx.doi.org/10.1080/030094801750203134","http://dx.doi.org/10.1080/030094801750203134")</f>
        <v>http://dx.doi.org/10.1080/030094801750203134</v>
      </c>
      <c r="BG497" t="s">
        <v>74</v>
      </c>
      <c r="BH497" t="s">
        <v>74</v>
      </c>
      <c r="BI497">
        <v>14</v>
      </c>
      <c r="BJ497" t="s">
        <v>1049</v>
      </c>
      <c r="BK497" t="s">
        <v>88</v>
      </c>
      <c r="BL497" t="s">
        <v>1050</v>
      </c>
      <c r="BM497" t="s">
        <v>6902</v>
      </c>
      <c r="BN497" t="s">
        <v>74</v>
      </c>
      <c r="BO497" t="s">
        <v>74</v>
      </c>
      <c r="BP497" t="s">
        <v>74</v>
      </c>
      <c r="BQ497" t="s">
        <v>74</v>
      </c>
      <c r="BR497" t="s">
        <v>91</v>
      </c>
      <c r="BS497" t="s">
        <v>6903</v>
      </c>
      <c r="BT497" t="str">
        <f>HYPERLINK("https%3A%2F%2Fwww.webofscience.com%2Fwos%2Fwoscc%2Ffull-record%2FWOS:000169127600002","View Full Record in Web of Science")</f>
        <v>View Full Record in Web of Science</v>
      </c>
    </row>
    <row r="498" spans="1:72" x14ac:dyDescent="0.15">
      <c r="A498" t="s">
        <v>72</v>
      </c>
      <c r="B498" t="s">
        <v>6904</v>
      </c>
      <c r="C498" t="s">
        <v>74</v>
      </c>
      <c r="D498" t="s">
        <v>74</v>
      </c>
      <c r="E498" t="s">
        <v>74</v>
      </c>
      <c r="F498" t="s">
        <v>6904</v>
      </c>
      <c r="G498" t="s">
        <v>74</v>
      </c>
      <c r="H498" t="s">
        <v>74</v>
      </c>
      <c r="I498" t="s">
        <v>6905</v>
      </c>
      <c r="J498" t="s">
        <v>5794</v>
      </c>
      <c r="K498" t="s">
        <v>74</v>
      </c>
      <c r="L498" t="s">
        <v>74</v>
      </c>
      <c r="M498" t="s">
        <v>77</v>
      </c>
      <c r="N498" t="s">
        <v>120</v>
      </c>
      <c r="O498" t="s">
        <v>74</v>
      </c>
      <c r="P498" t="s">
        <v>74</v>
      </c>
      <c r="Q498" t="s">
        <v>74</v>
      </c>
      <c r="R498" t="s">
        <v>74</v>
      </c>
      <c r="S498" t="s">
        <v>74</v>
      </c>
      <c r="T498" t="s">
        <v>74</v>
      </c>
      <c r="U498" t="s">
        <v>6906</v>
      </c>
      <c r="V498" t="s">
        <v>6907</v>
      </c>
      <c r="W498" t="s">
        <v>6908</v>
      </c>
      <c r="X498" t="s">
        <v>6909</v>
      </c>
      <c r="Y498" t="s">
        <v>6910</v>
      </c>
      <c r="Z498" t="s">
        <v>6911</v>
      </c>
      <c r="AA498" t="s">
        <v>6912</v>
      </c>
      <c r="AB498" t="s">
        <v>6913</v>
      </c>
      <c r="AC498" t="s">
        <v>74</v>
      </c>
      <c r="AD498" t="s">
        <v>74</v>
      </c>
      <c r="AE498" t="s">
        <v>74</v>
      </c>
      <c r="AF498" t="s">
        <v>74</v>
      </c>
      <c r="AG498">
        <v>60</v>
      </c>
      <c r="AH498">
        <v>51</v>
      </c>
      <c r="AI498">
        <v>58</v>
      </c>
      <c r="AJ498">
        <v>0</v>
      </c>
      <c r="AK498">
        <v>18</v>
      </c>
      <c r="AL498" t="s">
        <v>6914</v>
      </c>
      <c r="AM498" t="s">
        <v>5802</v>
      </c>
      <c r="AN498" t="s">
        <v>5803</v>
      </c>
      <c r="AO498" t="s">
        <v>5804</v>
      </c>
      <c r="AP498" t="s">
        <v>5805</v>
      </c>
      <c r="AQ498" t="s">
        <v>74</v>
      </c>
      <c r="AR498" t="s">
        <v>5806</v>
      </c>
      <c r="AS498" t="s">
        <v>5807</v>
      </c>
      <c r="AT498" t="s">
        <v>6688</v>
      </c>
      <c r="AU498">
        <v>2001</v>
      </c>
      <c r="AV498">
        <v>79</v>
      </c>
      <c r="AW498">
        <v>6</v>
      </c>
      <c r="AX498" t="s">
        <v>74</v>
      </c>
      <c r="AY498" t="s">
        <v>74</v>
      </c>
      <c r="AZ498" t="s">
        <v>74</v>
      </c>
      <c r="BA498" t="s">
        <v>74</v>
      </c>
      <c r="BB498">
        <v>1088</v>
      </c>
      <c r="BC498">
        <v>1101</v>
      </c>
      <c r="BD498" t="s">
        <v>74</v>
      </c>
      <c r="BE498" t="s">
        <v>6915</v>
      </c>
      <c r="BF498" t="str">
        <f>HYPERLINK("http://dx.doi.org/10.1139/cjz-79-6-1088","http://dx.doi.org/10.1139/cjz-79-6-1088")</f>
        <v>http://dx.doi.org/10.1139/cjz-79-6-1088</v>
      </c>
      <c r="BG498" t="s">
        <v>74</v>
      </c>
      <c r="BH498" t="s">
        <v>74</v>
      </c>
      <c r="BI498">
        <v>14</v>
      </c>
      <c r="BJ498" t="s">
        <v>408</v>
      </c>
      <c r="BK498" t="s">
        <v>88</v>
      </c>
      <c r="BL498" t="s">
        <v>408</v>
      </c>
      <c r="BM498" t="s">
        <v>6916</v>
      </c>
      <c r="BN498" t="s">
        <v>74</v>
      </c>
      <c r="BO498" t="s">
        <v>74</v>
      </c>
      <c r="BP498" t="s">
        <v>74</v>
      </c>
      <c r="BQ498" t="s">
        <v>74</v>
      </c>
      <c r="BR498" t="s">
        <v>91</v>
      </c>
      <c r="BS498" t="s">
        <v>6917</v>
      </c>
      <c r="BT498" t="str">
        <f>HYPERLINK("https%3A%2F%2Fwww.webofscience.com%2Fwos%2Fwoscc%2Ffull-record%2FWOS:000169776500020","View Full Record in Web of Science")</f>
        <v>View Full Record in Web of Science</v>
      </c>
    </row>
    <row r="499" spans="1:72" x14ac:dyDescent="0.15">
      <c r="A499" t="s">
        <v>72</v>
      </c>
      <c r="B499" t="s">
        <v>6918</v>
      </c>
      <c r="C499" t="s">
        <v>74</v>
      </c>
      <c r="D499" t="s">
        <v>74</v>
      </c>
      <c r="E499" t="s">
        <v>74</v>
      </c>
      <c r="F499" t="s">
        <v>6918</v>
      </c>
      <c r="G499" t="s">
        <v>74</v>
      </c>
      <c r="H499" t="s">
        <v>74</v>
      </c>
      <c r="I499" t="s">
        <v>6919</v>
      </c>
      <c r="J499" t="s">
        <v>6920</v>
      </c>
      <c r="K499" t="s">
        <v>74</v>
      </c>
      <c r="L499" t="s">
        <v>74</v>
      </c>
      <c r="M499" t="s">
        <v>77</v>
      </c>
      <c r="N499" t="s">
        <v>120</v>
      </c>
      <c r="O499" t="s">
        <v>74</v>
      </c>
      <c r="P499" t="s">
        <v>74</v>
      </c>
      <c r="Q499" t="s">
        <v>74</v>
      </c>
      <c r="R499" t="s">
        <v>74</v>
      </c>
      <c r="S499" t="s">
        <v>74</v>
      </c>
      <c r="T499" t="s">
        <v>74</v>
      </c>
      <c r="U499" t="s">
        <v>6921</v>
      </c>
      <c r="V499" t="s">
        <v>6922</v>
      </c>
      <c r="W499" t="s">
        <v>6923</v>
      </c>
      <c r="X499" t="s">
        <v>6924</v>
      </c>
      <c r="Y499" t="s">
        <v>6925</v>
      </c>
      <c r="Z499" t="s">
        <v>74</v>
      </c>
      <c r="AA499" t="s">
        <v>6926</v>
      </c>
      <c r="AB499" t="s">
        <v>6927</v>
      </c>
      <c r="AC499" t="s">
        <v>74</v>
      </c>
      <c r="AD499" t="s">
        <v>74</v>
      </c>
      <c r="AE499" t="s">
        <v>74</v>
      </c>
      <c r="AF499" t="s">
        <v>74</v>
      </c>
      <c r="AG499">
        <v>27</v>
      </c>
      <c r="AH499">
        <v>76</v>
      </c>
      <c r="AI499">
        <v>87</v>
      </c>
      <c r="AJ499">
        <v>1</v>
      </c>
      <c r="AK499">
        <v>11</v>
      </c>
      <c r="AL499" t="s">
        <v>6928</v>
      </c>
      <c r="AM499" t="s">
        <v>5802</v>
      </c>
      <c r="AN499" t="s">
        <v>6929</v>
      </c>
      <c r="AO499" t="s">
        <v>5804</v>
      </c>
      <c r="AP499" t="s">
        <v>74</v>
      </c>
      <c r="AQ499" t="s">
        <v>74</v>
      </c>
      <c r="AR499" t="s">
        <v>5806</v>
      </c>
      <c r="AS499" t="s">
        <v>6930</v>
      </c>
      <c r="AT499" t="s">
        <v>6688</v>
      </c>
      <c r="AU499">
        <v>2001</v>
      </c>
      <c r="AV499">
        <v>79</v>
      </c>
      <c r="AW499">
        <v>6</v>
      </c>
      <c r="AX499" t="s">
        <v>74</v>
      </c>
      <c r="AY499" t="s">
        <v>74</v>
      </c>
      <c r="AZ499" t="s">
        <v>74</v>
      </c>
      <c r="BA499" t="s">
        <v>74</v>
      </c>
      <c r="BB499">
        <v>988</v>
      </c>
      <c r="BC499">
        <v>996</v>
      </c>
      <c r="BD499" t="s">
        <v>74</v>
      </c>
      <c r="BE499" t="s">
        <v>6931</v>
      </c>
      <c r="BF499" t="str">
        <f>HYPERLINK("http://dx.doi.org/10.1139/cjz-79-6-988","http://dx.doi.org/10.1139/cjz-79-6-988")</f>
        <v>http://dx.doi.org/10.1139/cjz-79-6-988</v>
      </c>
      <c r="BG499" t="s">
        <v>74</v>
      </c>
      <c r="BH499" t="s">
        <v>74</v>
      </c>
      <c r="BI499">
        <v>9</v>
      </c>
      <c r="BJ499" t="s">
        <v>408</v>
      </c>
      <c r="BK499" t="s">
        <v>88</v>
      </c>
      <c r="BL499" t="s">
        <v>408</v>
      </c>
      <c r="BM499" t="s">
        <v>6916</v>
      </c>
      <c r="BN499" t="s">
        <v>74</v>
      </c>
      <c r="BO499" t="s">
        <v>74</v>
      </c>
      <c r="BP499" t="s">
        <v>74</v>
      </c>
      <c r="BQ499" t="s">
        <v>74</v>
      </c>
      <c r="BR499" t="s">
        <v>91</v>
      </c>
      <c r="BS499" t="s">
        <v>6932</v>
      </c>
      <c r="BT499" t="str">
        <f>HYPERLINK("https%3A%2F%2Fwww.webofscience.com%2Fwos%2Fwoscc%2Ffull-record%2FWOS:000169776500008","View Full Record in Web of Science")</f>
        <v>View Full Record in Web of Science</v>
      </c>
    </row>
    <row r="500" spans="1:72" x14ac:dyDescent="0.15">
      <c r="A500" t="s">
        <v>72</v>
      </c>
      <c r="B500" t="s">
        <v>6933</v>
      </c>
      <c r="C500" t="s">
        <v>74</v>
      </c>
      <c r="D500" t="s">
        <v>74</v>
      </c>
      <c r="E500" t="s">
        <v>74</v>
      </c>
      <c r="F500" t="s">
        <v>6933</v>
      </c>
      <c r="G500" t="s">
        <v>74</v>
      </c>
      <c r="H500" t="s">
        <v>74</v>
      </c>
      <c r="I500" t="s">
        <v>6934</v>
      </c>
      <c r="J500" t="s">
        <v>6935</v>
      </c>
      <c r="K500" t="s">
        <v>74</v>
      </c>
      <c r="L500" t="s">
        <v>74</v>
      </c>
      <c r="M500" t="s">
        <v>77</v>
      </c>
      <c r="N500" t="s">
        <v>120</v>
      </c>
      <c r="O500" t="s">
        <v>74</v>
      </c>
      <c r="P500" t="s">
        <v>74</v>
      </c>
      <c r="Q500" t="s">
        <v>74</v>
      </c>
      <c r="R500" t="s">
        <v>74</v>
      </c>
      <c r="S500" t="s">
        <v>74</v>
      </c>
      <c r="T500" t="s">
        <v>6936</v>
      </c>
      <c r="U500" t="s">
        <v>6937</v>
      </c>
      <c r="V500" t="s">
        <v>6938</v>
      </c>
      <c r="W500" t="s">
        <v>6939</v>
      </c>
      <c r="X500" t="s">
        <v>6940</v>
      </c>
      <c r="Y500" t="s">
        <v>6941</v>
      </c>
      <c r="Z500" t="s">
        <v>74</v>
      </c>
      <c r="AA500" t="s">
        <v>6942</v>
      </c>
      <c r="AB500" t="s">
        <v>6943</v>
      </c>
      <c r="AC500" t="s">
        <v>74</v>
      </c>
      <c r="AD500" t="s">
        <v>74</v>
      </c>
      <c r="AE500" t="s">
        <v>74</v>
      </c>
      <c r="AF500" t="s">
        <v>74</v>
      </c>
      <c r="AG500">
        <v>48</v>
      </c>
      <c r="AH500">
        <v>44</v>
      </c>
      <c r="AI500">
        <v>46</v>
      </c>
      <c r="AJ500">
        <v>0</v>
      </c>
      <c r="AK500">
        <v>19</v>
      </c>
      <c r="AL500" t="s">
        <v>488</v>
      </c>
      <c r="AM500" t="s">
        <v>350</v>
      </c>
      <c r="AN500" t="s">
        <v>489</v>
      </c>
      <c r="AO500" t="s">
        <v>6944</v>
      </c>
      <c r="AP500" t="s">
        <v>74</v>
      </c>
      <c r="AQ500" t="s">
        <v>74</v>
      </c>
      <c r="AR500" t="s">
        <v>6945</v>
      </c>
      <c r="AS500" t="s">
        <v>6946</v>
      </c>
      <c r="AT500" t="s">
        <v>6947</v>
      </c>
      <c r="AU500">
        <v>2001</v>
      </c>
      <c r="AV500">
        <v>175</v>
      </c>
      <c r="AW500" t="s">
        <v>451</v>
      </c>
      <c r="AX500" t="s">
        <v>74</v>
      </c>
      <c r="AY500" t="s">
        <v>74</v>
      </c>
      <c r="AZ500" t="s">
        <v>74</v>
      </c>
      <c r="BA500" t="s">
        <v>74</v>
      </c>
      <c r="BB500">
        <v>291</v>
      </c>
      <c r="BC500">
        <v>305</v>
      </c>
      <c r="BD500" t="s">
        <v>74</v>
      </c>
      <c r="BE500" t="s">
        <v>6948</v>
      </c>
      <c r="BF500" t="str">
        <f>HYPERLINK("http://dx.doi.org/10.1016/S0009-2541(00)00296-5","http://dx.doi.org/10.1016/S0009-2541(00)00296-5")</f>
        <v>http://dx.doi.org/10.1016/S0009-2541(00)00296-5</v>
      </c>
      <c r="BG500" t="s">
        <v>74</v>
      </c>
      <c r="BH500" t="s">
        <v>74</v>
      </c>
      <c r="BI500">
        <v>15</v>
      </c>
      <c r="BJ500" t="s">
        <v>388</v>
      </c>
      <c r="BK500" t="s">
        <v>88</v>
      </c>
      <c r="BL500" t="s">
        <v>388</v>
      </c>
      <c r="BM500" t="s">
        <v>6949</v>
      </c>
      <c r="BN500" t="s">
        <v>74</v>
      </c>
      <c r="BO500" t="s">
        <v>74</v>
      </c>
      <c r="BP500" t="s">
        <v>74</v>
      </c>
      <c r="BQ500" t="s">
        <v>74</v>
      </c>
      <c r="BR500" t="s">
        <v>91</v>
      </c>
      <c r="BS500" t="s">
        <v>6950</v>
      </c>
      <c r="BT500" t="str">
        <f>HYPERLINK("https%3A%2F%2Fwww.webofscience.com%2Fwos%2Fwoscc%2Ffull-record%2FWOS:000168683800008","View Full Record in Web of Science")</f>
        <v>View Full Record in Web of Science</v>
      </c>
    </row>
    <row r="501" spans="1:72" x14ac:dyDescent="0.15">
      <c r="A501" t="s">
        <v>72</v>
      </c>
      <c r="B501" t="s">
        <v>6951</v>
      </c>
      <c r="C501" t="s">
        <v>74</v>
      </c>
      <c r="D501" t="s">
        <v>74</v>
      </c>
      <c r="E501" t="s">
        <v>74</v>
      </c>
      <c r="F501" t="s">
        <v>6951</v>
      </c>
      <c r="G501" t="s">
        <v>74</v>
      </c>
      <c r="H501" t="s">
        <v>74</v>
      </c>
      <c r="I501" t="s">
        <v>6952</v>
      </c>
      <c r="J501" t="s">
        <v>4839</v>
      </c>
      <c r="K501" t="s">
        <v>74</v>
      </c>
      <c r="L501" t="s">
        <v>74</v>
      </c>
      <c r="M501" t="s">
        <v>77</v>
      </c>
      <c r="N501" t="s">
        <v>120</v>
      </c>
      <c r="O501" t="s">
        <v>74</v>
      </c>
      <c r="P501" t="s">
        <v>74</v>
      </c>
      <c r="Q501" t="s">
        <v>74</v>
      </c>
      <c r="R501" t="s">
        <v>74</v>
      </c>
      <c r="S501" t="s">
        <v>74</v>
      </c>
      <c r="T501" t="s">
        <v>6953</v>
      </c>
      <c r="U501" t="s">
        <v>6954</v>
      </c>
      <c r="V501" t="s">
        <v>6955</v>
      </c>
      <c r="W501" t="s">
        <v>6956</v>
      </c>
      <c r="X501" t="s">
        <v>6957</v>
      </c>
      <c r="Y501" t="s">
        <v>6958</v>
      </c>
      <c r="Z501" t="s">
        <v>74</v>
      </c>
      <c r="AA501" t="s">
        <v>74</v>
      </c>
      <c r="AB501" t="s">
        <v>74</v>
      </c>
      <c r="AC501" t="s">
        <v>74</v>
      </c>
      <c r="AD501" t="s">
        <v>74</v>
      </c>
      <c r="AE501" t="s">
        <v>74</v>
      </c>
      <c r="AF501" t="s">
        <v>74</v>
      </c>
      <c r="AG501">
        <v>54</v>
      </c>
      <c r="AH501">
        <v>27</v>
      </c>
      <c r="AI501">
        <v>28</v>
      </c>
      <c r="AJ501">
        <v>0</v>
      </c>
      <c r="AK501">
        <v>10</v>
      </c>
      <c r="AL501" t="s">
        <v>4847</v>
      </c>
      <c r="AM501" t="s">
        <v>204</v>
      </c>
      <c r="AN501" t="s">
        <v>4848</v>
      </c>
      <c r="AO501" t="s">
        <v>4849</v>
      </c>
      <c r="AP501" t="s">
        <v>74</v>
      </c>
      <c r="AQ501" t="s">
        <v>74</v>
      </c>
      <c r="AR501" t="s">
        <v>4850</v>
      </c>
      <c r="AS501" t="s">
        <v>4851</v>
      </c>
      <c r="AT501" t="s">
        <v>6688</v>
      </c>
      <c r="AU501">
        <v>2001</v>
      </c>
      <c r="AV501">
        <v>129</v>
      </c>
      <c r="AW501" t="s">
        <v>3507</v>
      </c>
      <c r="AX501" t="s">
        <v>74</v>
      </c>
      <c r="AY501" t="s">
        <v>74</v>
      </c>
      <c r="AZ501" t="s">
        <v>74</v>
      </c>
      <c r="BA501" t="s">
        <v>74</v>
      </c>
      <c r="BB501">
        <v>373</v>
      </c>
      <c r="BC501">
        <v>390</v>
      </c>
      <c r="BD501" t="s">
        <v>74</v>
      </c>
      <c r="BE501" t="s">
        <v>6959</v>
      </c>
      <c r="BF501" t="str">
        <f>HYPERLINK("http://dx.doi.org/10.1016/S1095-6433(00)00355-X","http://dx.doi.org/10.1016/S1095-6433(00)00355-X")</f>
        <v>http://dx.doi.org/10.1016/S1095-6433(00)00355-X</v>
      </c>
      <c r="BG501" t="s">
        <v>74</v>
      </c>
      <c r="BH501" t="s">
        <v>74</v>
      </c>
      <c r="BI501">
        <v>18</v>
      </c>
      <c r="BJ501" t="s">
        <v>4853</v>
      </c>
      <c r="BK501" t="s">
        <v>88</v>
      </c>
      <c r="BL501" t="s">
        <v>4853</v>
      </c>
      <c r="BM501" t="s">
        <v>6960</v>
      </c>
      <c r="BN501">
        <v>11423310</v>
      </c>
      <c r="BO501" t="s">
        <v>74</v>
      </c>
      <c r="BP501" t="s">
        <v>74</v>
      </c>
      <c r="BQ501" t="s">
        <v>74</v>
      </c>
      <c r="BR501" t="s">
        <v>91</v>
      </c>
      <c r="BS501" t="s">
        <v>6961</v>
      </c>
      <c r="BT501" t="str">
        <f>HYPERLINK("https%3A%2F%2Fwww.webofscience.com%2Fwos%2Fwoscc%2Ffull-record%2FWOS:000169473800008","View Full Record in Web of Science")</f>
        <v>View Full Record in Web of Science</v>
      </c>
    </row>
    <row r="502" spans="1:72" x14ac:dyDescent="0.15">
      <c r="A502" t="s">
        <v>72</v>
      </c>
      <c r="B502" t="s">
        <v>6962</v>
      </c>
      <c r="C502" t="s">
        <v>74</v>
      </c>
      <c r="D502" t="s">
        <v>74</v>
      </c>
      <c r="E502" t="s">
        <v>74</v>
      </c>
      <c r="F502" t="s">
        <v>6962</v>
      </c>
      <c r="G502" t="s">
        <v>74</v>
      </c>
      <c r="H502" t="s">
        <v>74</v>
      </c>
      <c r="I502" t="s">
        <v>6963</v>
      </c>
      <c r="J502" t="s">
        <v>6964</v>
      </c>
      <c r="K502" t="s">
        <v>74</v>
      </c>
      <c r="L502" t="s">
        <v>74</v>
      </c>
      <c r="M502" t="s">
        <v>77</v>
      </c>
      <c r="N502" t="s">
        <v>120</v>
      </c>
      <c r="O502" t="s">
        <v>74</v>
      </c>
      <c r="P502" t="s">
        <v>74</v>
      </c>
      <c r="Q502" t="s">
        <v>74</v>
      </c>
      <c r="R502" t="s">
        <v>74</v>
      </c>
      <c r="S502" t="s">
        <v>74</v>
      </c>
      <c r="T502" t="s">
        <v>74</v>
      </c>
      <c r="U502" t="s">
        <v>6965</v>
      </c>
      <c r="V502" t="s">
        <v>74</v>
      </c>
      <c r="W502" t="s">
        <v>6966</v>
      </c>
      <c r="X502" t="s">
        <v>6967</v>
      </c>
      <c r="Y502" t="s">
        <v>4201</v>
      </c>
      <c r="Z502" t="s">
        <v>74</v>
      </c>
      <c r="AA502" t="s">
        <v>6968</v>
      </c>
      <c r="AB502" t="s">
        <v>6969</v>
      </c>
      <c r="AC502" t="s">
        <v>74</v>
      </c>
      <c r="AD502" t="s">
        <v>74</v>
      </c>
      <c r="AE502" t="s">
        <v>74</v>
      </c>
      <c r="AF502" t="s">
        <v>74</v>
      </c>
      <c r="AG502">
        <v>54</v>
      </c>
      <c r="AH502">
        <v>46</v>
      </c>
      <c r="AI502">
        <v>50</v>
      </c>
      <c r="AJ502">
        <v>0</v>
      </c>
      <c r="AK502">
        <v>17</v>
      </c>
      <c r="AL502" t="s">
        <v>5208</v>
      </c>
      <c r="AM502" t="s">
        <v>5209</v>
      </c>
      <c r="AN502" t="s">
        <v>5210</v>
      </c>
      <c r="AO502" t="s">
        <v>6970</v>
      </c>
      <c r="AP502" t="s">
        <v>74</v>
      </c>
      <c r="AQ502" t="s">
        <v>74</v>
      </c>
      <c r="AR502" t="s">
        <v>6971</v>
      </c>
      <c r="AS502" t="s">
        <v>6972</v>
      </c>
      <c r="AT502" t="s">
        <v>6688</v>
      </c>
      <c r="AU502">
        <v>2001</v>
      </c>
      <c r="AV502">
        <v>15</v>
      </c>
      <c r="AW502">
        <v>3</v>
      </c>
      <c r="AX502" t="s">
        <v>74</v>
      </c>
      <c r="AY502" t="s">
        <v>74</v>
      </c>
      <c r="AZ502" t="s">
        <v>74</v>
      </c>
      <c r="BA502" t="s">
        <v>74</v>
      </c>
      <c r="BB502">
        <v>550</v>
      </c>
      <c r="BC502">
        <v>557</v>
      </c>
      <c r="BD502" t="s">
        <v>74</v>
      </c>
      <c r="BE502" t="s">
        <v>6973</v>
      </c>
      <c r="BF502" t="str">
        <f>HYPERLINK("http://dx.doi.org/10.1046/j.1523-1739.2001.015003550.x","http://dx.doi.org/10.1046/j.1523-1739.2001.015003550.x")</f>
        <v>http://dx.doi.org/10.1046/j.1523-1739.2001.015003550.x</v>
      </c>
      <c r="BG502" t="s">
        <v>74</v>
      </c>
      <c r="BH502" t="s">
        <v>74</v>
      </c>
      <c r="BI502">
        <v>8</v>
      </c>
      <c r="BJ502" t="s">
        <v>6974</v>
      </c>
      <c r="BK502" t="s">
        <v>88</v>
      </c>
      <c r="BL502" t="s">
        <v>210</v>
      </c>
      <c r="BM502" t="s">
        <v>6975</v>
      </c>
      <c r="BN502" t="s">
        <v>74</v>
      </c>
      <c r="BO502" t="s">
        <v>74</v>
      </c>
      <c r="BP502" t="s">
        <v>74</v>
      </c>
      <c r="BQ502" t="s">
        <v>74</v>
      </c>
      <c r="BR502" t="s">
        <v>91</v>
      </c>
      <c r="BS502" t="s">
        <v>6976</v>
      </c>
      <c r="BT502" t="str">
        <f>HYPERLINK("https%3A%2F%2Fwww.webofscience.com%2Fwos%2Fwoscc%2Ffull-record%2FWOS:000169226000002","View Full Record in Web of Science")</f>
        <v>View Full Record in Web of Science</v>
      </c>
    </row>
    <row r="503" spans="1:72" x14ac:dyDescent="0.15">
      <c r="A503" t="s">
        <v>72</v>
      </c>
      <c r="B503" t="s">
        <v>6977</v>
      </c>
      <c r="C503" t="s">
        <v>74</v>
      </c>
      <c r="D503" t="s">
        <v>74</v>
      </c>
      <c r="E503" t="s">
        <v>74</v>
      </c>
      <c r="F503" t="s">
        <v>6977</v>
      </c>
      <c r="G503" t="s">
        <v>74</v>
      </c>
      <c r="H503" t="s">
        <v>74</v>
      </c>
      <c r="I503" t="s">
        <v>6978</v>
      </c>
      <c r="J503" t="s">
        <v>6979</v>
      </c>
      <c r="K503" t="s">
        <v>74</v>
      </c>
      <c r="L503" t="s">
        <v>74</v>
      </c>
      <c r="M503" t="s">
        <v>77</v>
      </c>
      <c r="N503" t="s">
        <v>120</v>
      </c>
      <c r="O503" t="s">
        <v>74</v>
      </c>
      <c r="P503" t="s">
        <v>74</v>
      </c>
      <c r="Q503" t="s">
        <v>74</v>
      </c>
      <c r="R503" t="s">
        <v>74</v>
      </c>
      <c r="S503" t="s">
        <v>74</v>
      </c>
      <c r="T503" t="s">
        <v>6980</v>
      </c>
      <c r="U503" t="s">
        <v>6981</v>
      </c>
      <c r="V503" t="s">
        <v>6982</v>
      </c>
      <c r="W503" t="s">
        <v>1103</v>
      </c>
      <c r="X503" t="s">
        <v>462</v>
      </c>
      <c r="Y503" t="s">
        <v>3647</v>
      </c>
      <c r="Z503" t="s">
        <v>3648</v>
      </c>
      <c r="AA503" t="s">
        <v>6192</v>
      </c>
      <c r="AB503" t="s">
        <v>1586</v>
      </c>
      <c r="AC503" t="s">
        <v>74</v>
      </c>
      <c r="AD503" t="s">
        <v>74</v>
      </c>
      <c r="AE503" t="s">
        <v>74</v>
      </c>
      <c r="AF503" t="s">
        <v>74</v>
      </c>
      <c r="AG503">
        <v>67</v>
      </c>
      <c r="AH503">
        <v>57</v>
      </c>
      <c r="AI503">
        <v>64</v>
      </c>
      <c r="AJ503">
        <v>1</v>
      </c>
      <c r="AK503">
        <v>10</v>
      </c>
      <c r="AL503" t="s">
        <v>5678</v>
      </c>
      <c r="AM503" t="s">
        <v>683</v>
      </c>
      <c r="AN503" t="s">
        <v>1268</v>
      </c>
      <c r="AO503" t="s">
        <v>6983</v>
      </c>
      <c r="AP503" t="s">
        <v>6984</v>
      </c>
      <c r="AQ503" t="s">
        <v>74</v>
      </c>
      <c r="AR503" t="s">
        <v>6985</v>
      </c>
      <c r="AS503" t="s">
        <v>6986</v>
      </c>
      <c r="AT503" t="s">
        <v>6688</v>
      </c>
      <c r="AU503">
        <v>2001</v>
      </c>
      <c r="AV503">
        <v>22</v>
      </c>
      <c r="AW503">
        <v>3</v>
      </c>
      <c r="AX503" t="s">
        <v>74</v>
      </c>
      <c r="AY503" t="s">
        <v>74</v>
      </c>
      <c r="AZ503" t="s">
        <v>74</v>
      </c>
      <c r="BA503" t="s">
        <v>74</v>
      </c>
      <c r="BB503">
        <v>277</v>
      </c>
      <c r="BC503">
        <v>293</v>
      </c>
      <c r="BD503" t="s">
        <v>74</v>
      </c>
      <c r="BE503" t="s">
        <v>6987</v>
      </c>
      <c r="BF503" t="str">
        <f>HYPERLINK("http://dx.doi.org/10.1006/cres.2001.0259","http://dx.doi.org/10.1006/cres.2001.0259")</f>
        <v>http://dx.doi.org/10.1006/cres.2001.0259</v>
      </c>
      <c r="BG503" t="s">
        <v>74</v>
      </c>
      <c r="BH503" t="s">
        <v>74</v>
      </c>
      <c r="BI503">
        <v>17</v>
      </c>
      <c r="BJ503" t="s">
        <v>6988</v>
      </c>
      <c r="BK503" t="s">
        <v>88</v>
      </c>
      <c r="BL503" t="s">
        <v>6988</v>
      </c>
      <c r="BM503" t="s">
        <v>6989</v>
      </c>
      <c r="BN503" t="s">
        <v>74</v>
      </c>
      <c r="BO503" t="s">
        <v>74</v>
      </c>
      <c r="BP503" t="s">
        <v>74</v>
      </c>
      <c r="BQ503" t="s">
        <v>74</v>
      </c>
      <c r="BR503" t="s">
        <v>91</v>
      </c>
      <c r="BS503" t="s">
        <v>6990</v>
      </c>
      <c r="BT503" t="str">
        <f>HYPERLINK("https%3A%2F%2Fwww.webofscience.com%2Fwos%2Fwoscc%2Ffull-record%2FWOS:000170404100002","View Full Record in Web of Science")</f>
        <v>View Full Record in Web of Science</v>
      </c>
    </row>
    <row r="504" spans="1:72" x14ac:dyDescent="0.15">
      <c r="A504" t="s">
        <v>72</v>
      </c>
      <c r="B504" t="s">
        <v>6991</v>
      </c>
      <c r="C504" t="s">
        <v>74</v>
      </c>
      <c r="D504" t="s">
        <v>74</v>
      </c>
      <c r="E504" t="s">
        <v>74</v>
      </c>
      <c r="F504" t="s">
        <v>6991</v>
      </c>
      <c r="G504" t="s">
        <v>74</v>
      </c>
      <c r="H504" t="s">
        <v>74</v>
      </c>
      <c r="I504" t="s">
        <v>6992</v>
      </c>
      <c r="J504" t="s">
        <v>6993</v>
      </c>
      <c r="K504" t="s">
        <v>74</v>
      </c>
      <c r="L504" t="s">
        <v>74</v>
      </c>
      <c r="M504" t="s">
        <v>77</v>
      </c>
      <c r="N504" t="s">
        <v>120</v>
      </c>
      <c r="O504" t="s">
        <v>74</v>
      </c>
      <c r="P504" t="s">
        <v>74</v>
      </c>
      <c r="Q504" t="s">
        <v>74</v>
      </c>
      <c r="R504" t="s">
        <v>74</v>
      </c>
      <c r="S504" t="s">
        <v>74</v>
      </c>
      <c r="T504" t="s">
        <v>6994</v>
      </c>
      <c r="U504" t="s">
        <v>6995</v>
      </c>
      <c r="V504" t="s">
        <v>6996</v>
      </c>
      <c r="W504" t="s">
        <v>6997</v>
      </c>
      <c r="X504" t="s">
        <v>6998</v>
      </c>
      <c r="Y504" t="s">
        <v>6999</v>
      </c>
      <c r="Z504" t="s">
        <v>74</v>
      </c>
      <c r="AA504" t="s">
        <v>74</v>
      </c>
      <c r="AB504" t="s">
        <v>74</v>
      </c>
      <c r="AC504" t="s">
        <v>74</v>
      </c>
      <c r="AD504" t="s">
        <v>74</v>
      </c>
      <c r="AE504" t="s">
        <v>74</v>
      </c>
      <c r="AF504" t="s">
        <v>74</v>
      </c>
      <c r="AG504">
        <v>9</v>
      </c>
      <c r="AH504">
        <v>9</v>
      </c>
      <c r="AI504">
        <v>9</v>
      </c>
      <c r="AJ504">
        <v>0</v>
      </c>
      <c r="AK504">
        <v>0</v>
      </c>
      <c r="AL504" t="s">
        <v>7000</v>
      </c>
      <c r="AM504" t="s">
        <v>7001</v>
      </c>
      <c r="AN504" t="s">
        <v>7002</v>
      </c>
      <c r="AO504" t="s">
        <v>7003</v>
      </c>
      <c r="AP504" t="s">
        <v>74</v>
      </c>
      <c r="AQ504" t="s">
        <v>74</v>
      </c>
      <c r="AR504" t="s">
        <v>7004</v>
      </c>
      <c r="AS504" t="s">
        <v>7005</v>
      </c>
      <c r="AT504" t="s">
        <v>6688</v>
      </c>
      <c r="AU504">
        <v>2001</v>
      </c>
      <c r="AV504">
        <v>51</v>
      </c>
      <c r="AW504">
        <v>6</v>
      </c>
      <c r="AX504" t="s">
        <v>74</v>
      </c>
      <c r="AY504" t="s">
        <v>74</v>
      </c>
      <c r="AZ504" t="s">
        <v>74</v>
      </c>
      <c r="BA504" t="s">
        <v>74</v>
      </c>
      <c r="BB504">
        <v>609</v>
      </c>
      <c r="BC504">
        <v>614</v>
      </c>
      <c r="BD504" t="s">
        <v>74</v>
      </c>
      <c r="BE504" t="s">
        <v>7006</v>
      </c>
      <c r="BF504" t="str">
        <f>HYPERLINK("http://dx.doi.org/10.1023/A:1017560604799","http://dx.doi.org/10.1023/A:1017560604799")</f>
        <v>http://dx.doi.org/10.1023/A:1017560604799</v>
      </c>
      <c r="BG504" t="s">
        <v>74</v>
      </c>
      <c r="BH504" t="s">
        <v>74</v>
      </c>
      <c r="BI504">
        <v>6</v>
      </c>
      <c r="BJ504" t="s">
        <v>7007</v>
      </c>
      <c r="BK504" t="s">
        <v>88</v>
      </c>
      <c r="BL504" t="s">
        <v>2453</v>
      </c>
      <c r="BM504" t="s">
        <v>7008</v>
      </c>
      <c r="BN504" t="s">
        <v>74</v>
      </c>
      <c r="BO504" t="s">
        <v>74</v>
      </c>
      <c r="BP504" t="s">
        <v>74</v>
      </c>
      <c r="BQ504" t="s">
        <v>74</v>
      </c>
      <c r="BR504" t="s">
        <v>91</v>
      </c>
      <c r="BS504" t="s">
        <v>7009</v>
      </c>
      <c r="BT504" t="str">
        <f>HYPERLINK("https%3A%2F%2Fwww.webofscience.com%2Fwos%2Fwoscc%2Ffull-record%2FWOS:000169924800010","View Full Record in Web of Science")</f>
        <v>View Full Record in Web of Science</v>
      </c>
    </row>
    <row r="505" spans="1:72" x14ac:dyDescent="0.15">
      <c r="A505" t="s">
        <v>72</v>
      </c>
      <c r="B505" t="s">
        <v>7010</v>
      </c>
      <c r="C505" t="s">
        <v>74</v>
      </c>
      <c r="D505" t="s">
        <v>74</v>
      </c>
      <c r="E505" t="s">
        <v>74</v>
      </c>
      <c r="F505" t="s">
        <v>7010</v>
      </c>
      <c r="G505" t="s">
        <v>74</v>
      </c>
      <c r="H505" t="s">
        <v>74</v>
      </c>
      <c r="I505" t="s">
        <v>7011</v>
      </c>
      <c r="J505" t="s">
        <v>3533</v>
      </c>
      <c r="K505" t="s">
        <v>74</v>
      </c>
      <c r="L505" t="s">
        <v>74</v>
      </c>
      <c r="M505" t="s">
        <v>77</v>
      </c>
      <c r="N505" t="s">
        <v>120</v>
      </c>
      <c r="O505" t="s">
        <v>74</v>
      </c>
      <c r="P505" t="s">
        <v>74</v>
      </c>
      <c r="Q505" t="s">
        <v>74</v>
      </c>
      <c r="R505" t="s">
        <v>74</v>
      </c>
      <c r="S505" t="s">
        <v>74</v>
      </c>
      <c r="T505" t="s">
        <v>7012</v>
      </c>
      <c r="U505" t="s">
        <v>7013</v>
      </c>
      <c r="V505" t="s">
        <v>7014</v>
      </c>
      <c r="W505" t="s">
        <v>2323</v>
      </c>
      <c r="X505" t="s">
        <v>1679</v>
      </c>
      <c r="Y505" t="s">
        <v>7015</v>
      </c>
      <c r="Z505" t="s">
        <v>2407</v>
      </c>
      <c r="AA505" t="s">
        <v>7016</v>
      </c>
      <c r="AB505" t="s">
        <v>7017</v>
      </c>
      <c r="AC505" t="s">
        <v>74</v>
      </c>
      <c r="AD505" t="s">
        <v>74</v>
      </c>
      <c r="AE505" t="s">
        <v>74</v>
      </c>
      <c r="AF505" t="s">
        <v>74</v>
      </c>
      <c r="AG505">
        <v>63</v>
      </c>
      <c r="AH505">
        <v>46</v>
      </c>
      <c r="AI505">
        <v>50</v>
      </c>
      <c r="AJ505">
        <v>0</v>
      </c>
      <c r="AK505">
        <v>24</v>
      </c>
      <c r="AL505" t="s">
        <v>79</v>
      </c>
      <c r="AM505" t="s">
        <v>80</v>
      </c>
      <c r="AN505" t="s">
        <v>81</v>
      </c>
      <c r="AO505" t="s">
        <v>3542</v>
      </c>
      <c r="AP505" t="s">
        <v>5873</v>
      </c>
      <c r="AQ505" t="s">
        <v>74</v>
      </c>
      <c r="AR505" t="s">
        <v>3543</v>
      </c>
      <c r="AS505" t="s">
        <v>3544</v>
      </c>
      <c r="AT505" t="s">
        <v>6688</v>
      </c>
      <c r="AU505">
        <v>2001</v>
      </c>
      <c r="AV505">
        <v>48</v>
      </c>
      <c r="AW505">
        <v>6</v>
      </c>
      <c r="AX505" t="s">
        <v>74</v>
      </c>
      <c r="AY505" t="s">
        <v>74</v>
      </c>
      <c r="AZ505" t="s">
        <v>74</v>
      </c>
      <c r="BA505" t="s">
        <v>74</v>
      </c>
      <c r="BB505">
        <v>1401</v>
      </c>
      <c r="BC505">
        <v>1422</v>
      </c>
      <c r="BD505" t="s">
        <v>74</v>
      </c>
      <c r="BE505" t="s">
        <v>7018</v>
      </c>
      <c r="BF505" t="str">
        <f>HYPERLINK("http://dx.doi.org/10.1016/S0967-0637(00)00093-5","http://dx.doi.org/10.1016/S0967-0637(00)00093-5")</f>
        <v>http://dx.doi.org/10.1016/S0967-0637(00)00093-5</v>
      </c>
      <c r="BG505" t="s">
        <v>74</v>
      </c>
      <c r="BH505" t="s">
        <v>74</v>
      </c>
      <c r="BI505">
        <v>22</v>
      </c>
      <c r="BJ505" t="s">
        <v>668</v>
      </c>
      <c r="BK505" t="s">
        <v>88</v>
      </c>
      <c r="BL505" t="s">
        <v>668</v>
      </c>
      <c r="BM505" t="s">
        <v>7019</v>
      </c>
      <c r="BN505" t="s">
        <v>74</v>
      </c>
      <c r="BO505" t="s">
        <v>74</v>
      </c>
      <c r="BP505" t="s">
        <v>74</v>
      </c>
      <c r="BQ505" t="s">
        <v>74</v>
      </c>
      <c r="BR505" t="s">
        <v>91</v>
      </c>
      <c r="BS505" t="s">
        <v>7020</v>
      </c>
      <c r="BT505" t="str">
        <f>HYPERLINK("https%3A%2F%2Fwww.webofscience.com%2Fwos%2Fwoscc%2Ffull-record%2FWOS:000167505300003","View Full Record in Web of Science")</f>
        <v>View Full Record in Web of Science</v>
      </c>
    </row>
    <row r="506" spans="1:72" x14ac:dyDescent="0.15">
      <c r="A506" t="s">
        <v>72</v>
      </c>
      <c r="B506" t="s">
        <v>7021</v>
      </c>
      <c r="C506" t="s">
        <v>74</v>
      </c>
      <c r="D506" t="s">
        <v>74</v>
      </c>
      <c r="E506" t="s">
        <v>74</v>
      </c>
      <c r="F506" t="s">
        <v>7021</v>
      </c>
      <c r="G506" t="s">
        <v>74</v>
      </c>
      <c r="H506" t="s">
        <v>74</v>
      </c>
      <c r="I506" t="s">
        <v>7022</v>
      </c>
      <c r="J506" t="s">
        <v>5878</v>
      </c>
      <c r="K506" t="s">
        <v>74</v>
      </c>
      <c r="L506" t="s">
        <v>74</v>
      </c>
      <c r="M506" t="s">
        <v>77</v>
      </c>
      <c r="N506" t="s">
        <v>120</v>
      </c>
      <c r="O506" t="s">
        <v>74</v>
      </c>
      <c r="P506" t="s">
        <v>74</v>
      </c>
      <c r="Q506" t="s">
        <v>74</v>
      </c>
      <c r="R506" t="s">
        <v>74</v>
      </c>
      <c r="S506" t="s">
        <v>74</v>
      </c>
      <c r="T506" t="s">
        <v>74</v>
      </c>
      <c r="U506" t="s">
        <v>74</v>
      </c>
      <c r="V506" t="s">
        <v>74</v>
      </c>
      <c r="W506" t="s">
        <v>7023</v>
      </c>
      <c r="X506" t="s">
        <v>3743</v>
      </c>
      <c r="Y506" t="s">
        <v>7024</v>
      </c>
      <c r="Z506" t="s">
        <v>74</v>
      </c>
      <c r="AA506" t="s">
        <v>7025</v>
      </c>
      <c r="AB506" t="s">
        <v>7026</v>
      </c>
      <c r="AC506" t="s">
        <v>74</v>
      </c>
      <c r="AD506" t="s">
        <v>74</v>
      </c>
      <c r="AE506" t="s">
        <v>74</v>
      </c>
      <c r="AF506" t="s">
        <v>74</v>
      </c>
      <c r="AG506">
        <v>9</v>
      </c>
      <c r="AH506">
        <v>0</v>
      </c>
      <c r="AI506">
        <v>0</v>
      </c>
      <c r="AJ506">
        <v>0</v>
      </c>
      <c r="AK506">
        <v>0</v>
      </c>
      <c r="AL506" t="s">
        <v>3678</v>
      </c>
      <c r="AM506" t="s">
        <v>3679</v>
      </c>
      <c r="AN506" t="s">
        <v>3680</v>
      </c>
      <c r="AO506" t="s">
        <v>5884</v>
      </c>
      <c r="AP506" t="s">
        <v>74</v>
      </c>
      <c r="AQ506" t="s">
        <v>74</v>
      </c>
      <c r="AR506" t="s">
        <v>5885</v>
      </c>
      <c r="AS506" t="s">
        <v>5886</v>
      </c>
      <c r="AT506" t="s">
        <v>7027</v>
      </c>
      <c r="AU506">
        <v>2001</v>
      </c>
      <c r="AV506">
        <v>379</v>
      </c>
      <c r="AW506">
        <v>5</v>
      </c>
      <c r="AX506" t="s">
        <v>74</v>
      </c>
      <c r="AY506" t="s">
        <v>74</v>
      </c>
      <c r="AZ506" t="s">
        <v>74</v>
      </c>
      <c r="BA506" t="s">
        <v>74</v>
      </c>
      <c r="BB506">
        <v>594</v>
      </c>
      <c r="BC506">
        <v>596</v>
      </c>
      <c r="BD506" t="s">
        <v>74</v>
      </c>
      <c r="BE506" t="s">
        <v>74</v>
      </c>
      <c r="BF506" t="s">
        <v>74</v>
      </c>
      <c r="BG506" t="s">
        <v>74</v>
      </c>
      <c r="BH506" t="s">
        <v>74</v>
      </c>
      <c r="BI506">
        <v>3</v>
      </c>
      <c r="BJ506" t="s">
        <v>300</v>
      </c>
      <c r="BK506" t="s">
        <v>88</v>
      </c>
      <c r="BL506" t="s">
        <v>113</v>
      </c>
      <c r="BM506" t="s">
        <v>7028</v>
      </c>
      <c r="BN506" t="s">
        <v>74</v>
      </c>
      <c r="BO506" t="s">
        <v>74</v>
      </c>
      <c r="BP506" t="s">
        <v>74</v>
      </c>
      <c r="BQ506" t="s">
        <v>74</v>
      </c>
      <c r="BR506" t="s">
        <v>91</v>
      </c>
      <c r="BS506" t="s">
        <v>7029</v>
      </c>
      <c r="BT506" t="str">
        <f>HYPERLINK("https%3A%2F%2Fwww.webofscience.com%2Fwos%2Fwoscc%2Ffull-record%2FWOS:000170212600025","View Full Record in Web of Science")</f>
        <v>View Full Record in Web of Science</v>
      </c>
    </row>
    <row r="507" spans="1:72" x14ac:dyDescent="0.15">
      <c r="A507" t="s">
        <v>72</v>
      </c>
      <c r="B507" t="s">
        <v>7030</v>
      </c>
      <c r="C507" t="s">
        <v>74</v>
      </c>
      <c r="D507" t="s">
        <v>74</v>
      </c>
      <c r="E507" t="s">
        <v>74</v>
      </c>
      <c r="F507" t="s">
        <v>7030</v>
      </c>
      <c r="G507" t="s">
        <v>74</v>
      </c>
      <c r="H507" t="s">
        <v>74</v>
      </c>
      <c r="I507" t="s">
        <v>7031</v>
      </c>
      <c r="J507" t="s">
        <v>5878</v>
      </c>
      <c r="K507" t="s">
        <v>74</v>
      </c>
      <c r="L507" t="s">
        <v>74</v>
      </c>
      <c r="M507" t="s">
        <v>77</v>
      </c>
      <c r="N507" t="s">
        <v>120</v>
      </c>
      <c r="O507" t="s">
        <v>74</v>
      </c>
      <c r="P507" t="s">
        <v>74</v>
      </c>
      <c r="Q507" t="s">
        <v>74</v>
      </c>
      <c r="R507" t="s">
        <v>74</v>
      </c>
      <c r="S507" t="s">
        <v>74</v>
      </c>
      <c r="T507" t="s">
        <v>74</v>
      </c>
      <c r="U507" t="s">
        <v>74</v>
      </c>
      <c r="V507" t="s">
        <v>74</v>
      </c>
      <c r="W507" t="s">
        <v>7032</v>
      </c>
      <c r="X507" t="s">
        <v>7033</v>
      </c>
      <c r="Y507" t="s">
        <v>7034</v>
      </c>
      <c r="Z507" t="s">
        <v>74</v>
      </c>
      <c r="AA507" t="s">
        <v>7035</v>
      </c>
      <c r="AB507" t="s">
        <v>74</v>
      </c>
      <c r="AC507" t="s">
        <v>74</v>
      </c>
      <c r="AD507" t="s">
        <v>74</v>
      </c>
      <c r="AE507" t="s">
        <v>74</v>
      </c>
      <c r="AF507" t="s">
        <v>74</v>
      </c>
      <c r="AG507">
        <v>15</v>
      </c>
      <c r="AH507">
        <v>1</v>
      </c>
      <c r="AI507">
        <v>1</v>
      </c>
      <c r="AJ507">
        <v>0</v>
      </c>
      <c r="AK507">
        <v>2</v>
      </c>
      <c r="AL507" t="s">
        <v>3678</v>
      </c>
      <c r="AM507" t="s">
        <v>3679</v>
      </c>
      <c r="AN507" t="s">
        <v>3680</v>
      </c>
      <c r="AO507" t="s">
        <v>5884</v>
      </c>
      <c r="AP507" t="s">
        <v>74</v>
      </c>
      <c r="AQ507" t="s">
        <v>74</v>
      </c>
      <c r="AR507" t="s">
        <v>5885</v>
      </c>
      <c r="AS507" t="s">
        <v>5886</v>
      </c>
      <c r="AT507" t="s">
        <v>7027</v>
      </c>
      <c r="AU507">
        <v>2001</v>
      </c>
      <c r="AV507">
        <v>379</v>
      </c>
      <c r="AW507">
        <v>5</v>
      </c>
      <c r="AX507" t="s">
        <v>74</v>
      </c>
      <c r="AY507" t="s">
        <v>74</v>
      </c>
      <c r="AZ507" t="s">
        <v>74</v>
      </c>
      <c r="BA507" t="s">
        <v>74</v>
      </c>
      <c r="BB507">
        <v>611</v>
      </c>
      <c r="BC507">
        <v>614</v>
      </c>
      <c r="BD507" t="s">
        <v>74</v>
      </c>
      <c r="BE507" t="s">
        <v>74</v>
      </c>
      <c r="BF507" t="s">
        <v>74</v>
      </c>
      <c r="BG507" t="s">
        <v>74</v>
      </c>
      <c r="BH507" t="s">
        <v>74</v>
      </c>
      <c r="BI507">
        <v>4</v>
      </c>
      <c r="BJ507" t="s">
        <v>300</v>
      </c>
      <c r="BK507" t="s">
        <v>88</v>
      </c>
      <c r="BL507" t="s">
        <v>113</v>
      </c>
      <c r="BM507" t="s">
        <v>7028</v>
      </c>
      <c r="BN507" t="s">
        <v>74</v>
      </c>
      <c r="BO507" t="s">
        <v>74</v>
      </c>
      <c r="BP507" t="s">
        <v>74</v>
      </c>
      <c r="BQ507" t="s">
        <v>74</v>
      </c>
      <c r="BR507" t="s">
        <v>91</v>
      </c>
      <c r="BS507" t="s">
        <v>7036</v>
      </c>
      <c r="BT507" t="str">
        <f>HYPERLINK("https%3A%2F%2Fwww.webofscience.com%2Fwos%2Fwoscc%2Ffull-record%2FWOS:000170212600029","View Full Record in Web of Science")</f>
        <v>View Full Record in Web of Science</v>
      </c>
    </row>
    <row r="508" spans="1:72" x14ac:dyDescent="0.15">
      <c r="A508" t="s">
        <v>72</v>
      </c>
      <c r="B508" t="s">
        <v>7037</v>
      </c>
      <c r="C508" t="s">
        <v>74</v>
      </c>
      <c r="D508" t="s">
        <v>74</v>
      </c>
      <c r="E508" t="s">
        <v>74</v>
      </c>
      <c r="F508" t="s">
        <v>7037</v>
      </c>
      <c r="G508" t="s">
        <v>74</v>
      </c>
      <c r="H508" t="s">
        <v>74</v>
      </c>
      <c r="I508" t="s">
        <v>7038</v>
      </c>
      <c r="J508" t="s">
        <v>2187</v>
      </c>
      <c r="K508" t="s">
        <v>74</v>
      </c>
      <c r="L508" t="s">
        <v>74</v>
      </c>
      <c r="M508" t="s">
        <v>77</v>
      </c>
      <c r="N508" t="s">
        <v>435</v>
      </c>
      <c r="O508" t="s">
        <v>7039</v>
      </c>
      <c r="P508" t="s">
        <v>7040</v>
      </c>
      <c r="Q508" t="s">
        <v>7041</v>
      </c>
      <c r="R508" t="s">
        <v>74</v>
      </c>
      <c r="S508" t="s">
        <v>7042</v>
      </c>
      <c r="T508" t="s">
        <v>7043</v>
      </c>
      <c r="U508" t="s">
        <v>7044</v>
      </c>
      <c r="V508" t="s">
        <v>7045</v>
      </c>
      <c r="W508" t="s">
        <v>7046</v>
      </c>
      <c r="X508" t="s">
        <v>7047</v>
      </c>
      <c r="Y508" t="s">
        <v>7048</v>
      </c>
      <c r="Z508" t="s">
        <v>74</v>
      </c>
      <c r="AA508" t="s">
        <v>74</v>
      </c>
      <c r="AB508" t="s">
        <v>74</v>
      </c>
      <c r="AC508" t="s">
        <v>74</v>
      </c>
      <c r="AD508" t="s">
        <v>74</v>
      </c>
      <c r="AE508" t="s">
        <v>74</v>
      </c>
      <c r="AF508" t="s">
        <v>74</v>
      </c>
      <c r="AG508">
        <v>58</v>
      </c>
      <c r="AH508">
        <v>161</v>
      </c>
      <c r="AI508">
        <v>196</v>
      </c>
      <c r="AJ508">
        <v>0</v>
      </c>
      <c r="AK508">
        <v>44</v>
      </c>
      <c r="AL508" t="s">
        <v>488</v>
      </c>
      <c r="AM508" t="s">
        <v>350</v>
      </c>
      <c r="AN508" t="s">
        <v>489</v>
      </c>
      <c r="AO508" t="s">
        <v>2192</v>
      </c>
      <c r="AP508" t="s">
        <v>74</v>
      </c>
      <c r="AQ508" t="s">
        <v>74</v>
      </c>
      <c r="AR508" t="s">
        <v>2193</v>
      </c>
      <c r="AS508" t="s">
        <v>2194</v>
      </c>
      <c r="AT508" t="s">
        <v>6688</v>
      </c>
      <c r="AU508">
        <v>2001</v>
      </c>
      <c r="AV508">
        <v>54</v>
      </c>
      <c r="AW508" t="s">
        <v>2229</v>
      </c>
      <c r="AX508" t="s">
        <v>74</v>
      </c>
      <c r="AY508" t="s">
        <v>74</v>
      </c>
      <c r="AZ508" t="s">
        <v>7049</v>
      </c>
      <c r="BA508" t="s">
        <v>74</v>
      </c>
      <c r="BB508">
        <v>129</v>
      </c>
      <c r="BC508">
        <v>144</v>
      </c>
      <c r="BD508" t="s">
        <v>74</v>
      </c>
      <c r="BE508" t="s">
        <v>7050</v>
      </c>
      <c r="BF508" t="str">
        <f>HYPERLINK("http://dx.doi.org/10.1016/S0012-8252(01)00044-7","http://dx.doi.org/10.1016/S0012-8252(01)00044-7")</f>
        <v>http://dx.doi.org/10.1016/S0012-8252(01)00044-7</v>
      </c>
      <c r="BG508" t="s">
        <v>74</v>
      </c>
      <c r="BH508" t="s">
        <v>74</v>
      </c>
      <c r="BI508">
        <v>16</v>
      </c>
      <c r="BJ508" t="s">
        <v>300</v>
      </c>
      <c r="BK508" t="s">
        <v>453</v>
      </c>
      <c r="BL508" t="s">
        <v>113</v>
      </c>
      <c r="BM508" t="s">
        <v>7051</v>
      </c>
      <c r="BN508" t="s">
        <v>74</v>
      </c>
      <c r="BO508" t="s">
        <v>74</v>
      </c>
      <c r="BP508" t="s">
        <v>74</v>
      </c>
      <c r="BQ508" t="s">
        <v>74</v>
      </c>
      <c r="BR508" t="s">
        <v>91</v>
      </c>
      <c r="BS508" t="s">
        <v>7052</v>
      </c>
      <c r="BT508" t="str">
        <f>HYPERLINK("https%3A%2F%2Fwww.webofscience.com%2Fwos%2Fwoscc%2Ffull-record%2FWOS:000170720400008","View Full Record in Web of Science")</f>
        <v>View Full Record in Web of Science</v>
      </c>
    </row>
    <row r="509" spans="1:72" x14ac:dyDescent="0.15">
      <c r="A509" t="s">
        <v>72</v>
      </c>
      <c r="B509" t="s">
        <v>7053</v>
      </c>
      <c r="C509" t="s">
        <v>74</v>
      </c>
      <c r="D509" t="s">
        <v>74</v>
      </c>
      <c r="E509" t="s">
        <v>74</v>
      </c>
      <c r="F509" t="s">
        <v>7053</v>
      </c>
      <c r="G509" t="s">
        <v>74</v>
      </c>
      <c r="H509" t="s">
        <v>74</v>
      </c>
      <c r="I509" t="s">
        <v>7054</v>
      </c>
      <c r="J509" t="s">
        <v>7055</v>
      </c>
      <c r="K509" t="s">
        <v>74</v>
      </c>
      <c r="L509" t="s">
        <v>74</v>
      </c>
      <c r="M509" t="s">
        <v>77</v>
      </c>
      <c r="N509" t="s">
        <v>120</v>
      </c>
      <c r="O509" t="s">
        <v>74</v>
      </c>
      <c r="P509" t="s">
        <v>74</v>
      </c>
      <c r="Q509" t="s">
        <v>74</v>
      </c>
      <c r="R509" t="s">
        <v>74</v>
      </c>
      <c r="S509" t="s">
        <v>74</v>
      </c>
      <c r="T509" t="s">
        <v>7056</v>
      </c>
      <c r="U509" t="s">
        <v>7057</v>
      </c>
      <c r="V509" t="s">
        <v>7058</v>
      </c>
      <c r="W509" t="s">
        <v>7059</v>
      </c>
      <c r="X509" t="s">
        <v>7060</v>
      </c>
      <c r="Y509" t="s">
        <v>2627</v>
      </c>
      <c r="Z509" t="s">
        <v>2628</v>
      </c>
      <c r="AA509" t="s">
        <v>7061</v>
      </c>
      <c r="AB509" t="s">
        <v>7062</v>
      </c>
      <c r="AC509" t="s">
        <v>74</v>
      </c>
      <c r="AD509" t="s">
        <v>74</v>
      </c>
      <c r="AE509" t="s">
        <v>74</v>
      </c>
      <c r="AF509" t="s">
        <v>74</v>
      </c>
      <c r="AG509">
        <v>38</v>
      </c>
      <c r="AH509">
        <v>52</v>
      </c>
      <c r="AI509">
        <v>70</v>
      </c>
      <c r="AJ509">
        <v>2</v>
      </c>
      <c r="AK509">
        <v>22</v>
      </c>
      <c r="AL509" t="s">
        <v>1247</v>
      </c>
      <c r="AM509" t="s">
        <v>1248</v>
      </c>
      <c r="AN509" t="s">
        <v>1249</v>
      </c>
      <c r="AO509" t="s">
        <v>7063</v>
      </c>
      <c r="AP509" t="s">
        <v>7064</v>
      </c>
      <c r="AQ509" t="s">
        <v>74</v>
      </c>
      <c r="AR509" t="s">
        <v>7065</v>
      </c>
      <c r="AS509" t="s">
        <v>7066</v>
      </c>
      <c r="AT509" t="s">
        <v>6688</v>
      </c>
      <c r="AU509">
        <v>2001</v>
      </c>
      <c r="AV509">
        <v>10</v>
      </c>
      <c r="AW509">
        <v>2</v>
      </c>
      <c r="AX509" t="s">
        <v>74</v>
      </c>
      <c r="AY509" t="s">
        <v>74</v>
      </c>
      <c r="AZ509" t="s">
        <v>74</v>
      </c>
      <c r="BA509" t="s">
        <v>74</v>
      </c>
      <c r="BB509">
        <v>207</v>
      </c>
      <c r="BC509">
        <v>216</v>
      </c>
      <c r="BD509" t="s">
        <v>74</v>
      </c>
      <c r="BE509" t="s">
        <v>7067</v>
      </c>
      <c r="BF509" t="str">
        <f>HYPERLINK("http://dx.doi.org/10.1046/j.1365-2419.2001.00165.x","http://dx.doi.org/10.1046/j.1365-2419.2001.00165.x")</f>
        <v>http://dx.doi.org/10.1046/j.1365-2419.2001.00165.x</v>
      </c>
      <c r="BG509" t="s">
        <v>74</v>
      </c>
      <c r="BH509" t="s">
        <v>74</v>
      </c>
      <c r="BI509">
        <v>10</v>
      </c>
      <c r="BJ509" t="s">
        <v>7068</v>
      </c>
      <c r="BK509" t="s">
        <v>88</v>
      </c>
      <c r="BL509" t="s">
        <v>7068</v>
      </c>
      <c r="BM509" t="s">
        <v>7069</v>
      </c>
      <c r="BN509" t="s">
        <v>74</v>
      </c>
      <c r="BO509" t="s">
        <v>74</v>
      </c>
      <c r="BP509" t="s">
        <v>74</v>
      </c>
      <c r="BQ509" t="s">
        <v>74</v>
      </c>
      <c r="BR509" t="s">
        <v>91</v>
      </c>
      <c r="BS509" t="s">
        <v>7070</v>
      </c>
      <c r="BT509" t="str">
        <f>HYPERLINK("https%3A%2F%2Fwww.webofscience.com%2Fwos%2Fwoscc%2Ffull-record%2FWOS:000170560300005","View Full Record in Web of Science")</f>
        <v>View Full Record in Web of Science</v>
      </c>
    </row>
    <row r="510" spans="1:72" x14ac:dyDescent="0.15">
      <c r="A510" t="s">
        <v>72</v>
      </c>
      <c r="B510" t="s">
        <v>7071</v>
      </c>
      <c r="C510" t="s">
        <v>74</v>
      </c>
      <c r="D510" t="s">
        <v>74</v>
      </c>
      <c r="E510" t="s">
        <v>74</v>
      </c>
      <c r="F510" t="s">
        <v>7071</v>
      </c>
      <c r="G510" t="s">
        <v>74</v>
      </c>
      <c r="H510" t="s">
        <v>74</v>
      </c>
      <c r="I510" t="s">
        <v>7072</v>
      </c>
      <c r="J510" t="s">
        <v>5938</v>
      </c>
      <c r="K510" t="s">
        <v>74</v>
      </c>
      <c r="L510" t="s">
        <v>74</v>
      </c>
      <c r="M510" t="s">
        <v>77</v>
      </c>
      <c r="N510" t="s">
        <v>435</v>
      </c>
      <c r="O510" t="s">
        <v>7073</v>
      </c>
      <c r="P510">
        <v>1998</v>
      </c>
      <c r="Q510" t="s">
        <v>7074</v>
      </c>
      <c r="R510" t="s">
        <v>74</v>
      </c>
      <c r="S510" t="s">
        <v>74</v>
      </c>
      <c r="T510" t="s">
        <v>7075</v>
      </c>
      <c r="U510" t="s">
        <v>7076</v>
      </c>
      <c r="V510" t="s">
        <v>7077</v>
      </c>
      <c r="W510" t="s">
        <v>7078</v>
      </c>
      <c r="X510" t="s">
        <v>7079</v>
      </c>
      <c r="Y510" t="s">
        <v>7080</v>
      </c>
      <c r="Z510" t="s">
        <v>74</v>
      </c>
      <c r="AA510" t="s">
        <v>7081</v>
      </c>
      <c r="AB510" t="s">
        <v>7082</v>
      </c>
      <c r="AC510" t="s">
        <v>74</v>
      </c>
      <c r="AD510" t="s">
        <v>74</v>
      </c>
      <c r="AE510" t="s">
        <v>74</v>
      </c>
      <c r="AF510" t="s">
        <v>74</v>
      </c>
      <c r="AG510">
        <v>46</v>
      </c>
      <c r="AH510">
        <v>31</v>
      </c>
      <c r="AI510">
        <v>37</v>
      </c>
      <c r="AJ510">
        <v>0</v>
      </c>
      <c r="AK510">
        <v>10</v>
      </c>
      <c r="AL510" t="s">
        <v>488</v>
      </c>
      <c r="AM510" t="s">
        <v>350</v>
      </c>
      <c r="AN510" t="s">
        <v>489</v>
      </c>
      <c r="AO510" t="s">
        <v>5944</v>
      </c>
      <c r="AP510" t="s">
        <v>74</v>
      </c>
      <c r="AQ510" t="s">
        <v>74</v>
      </c>
      <c r="AR510" t="s">
        <v>5945</v>
      </c>
      <c r="AS510" t="s">
        <v>5946</v>
      </c>
      <c r="AT510" t="s">
        <v>6688</v>
      </c>
      <c r="AU510">
        <v>2001</v>
      </c>
      <c r="AV510">
        <v>52</v>
      </c>
      <c r="AW510" t="s">
        <v>495</v>
      </c>
      <c r="AX510" t="s">
        <v>74</v>
      </c>
      <c r="AY510" t="s">
        <v>74</v>
      </c>
      <c r="AZ510" t="s">
        <v>74</v>
      </c>
      <c r="BA510" t="s">
        <v>74</v>
      </c>
      <c r="BB510">
        <v>79</v>
      </c>
      <c r="BC510">
        <v>90</v>
      </c>
      <c r="BD510" t="s">
        <v>74</v>
      </c>
      <c r="BE510" t="s">
        <v>7083</v>
      </c>
      <c r="BF510" t="str">
        <f>HYPERLINK("http://dx.doi.org/10.1016/S0165-7836(01)00232-6","http://dx.doi.org/10.1016/S0165-7836(01)00232-6")</f>
        <v>http://dx.doi.org/10.1016/S0165-7836(01)00232-6</v>
      </c>
      <c r="BG510" t="s">
        <v>74</v>
      </c>
      <c r="BH510" t="s">
        <v>74</v>
      </c>
      <c r="BI510">
        <v>12</v>
      </c>
      <c r="BJ510" t="s">
        <v>5948</v>
      </c>
      <c r="BK510" t="s">
        <v>453</v>
      </c>
      <c r="BL510" t="s">
        <v>5948</v>
      </c>
      <c r="BM510" t="s">
        <v>7084</v>
      </c>
      <c r="BN510" t="s">
        <v>74</v>
      </c>
      <c r="BO510" t="s">
        <v>74</v>
      </c>
      <c r="BP510" t="s">
        <v>74</v>
      </c>
      <c r="BQ510" t="s">
        <v>74</v>
      </c>
      <c r="BR510" t="s">
        <v>91</v>
      </c>
      <c r="BS510" t="s">
        <v>7085</v>
      </c>
      <c r="BT510" t="str">
        <f>HYPERLINK("https%3A%2F%2Fwww.webofscience.com%2Fwos%2Fwoscc%2Ffull-record%2FWOS:000168616000008","View Full Record in Web of Science")</f>
        <v>View Full Record in Web of Science</v>
      </c>
    </row>
    <row r="511" spans="1:72" x14ac:dyDescent="0.15">
      <c r="A511" t="s">
        <v>72</v>
      </c>
      <c r="B511" t="s">
        <v>7086</v>
      </c>
      <c r="C511" t="s">
        <v>74</v>
      </c>
      <c r="D511" t="s">
        <v>74</v>
      </c>
      <c r="E511" t="s">
        <v>74</v>
      </c>
      <c r="F511" t="s">
        <v>7086</v>
      </c>
      <c r="G511" t="s">
        <v>74</v>
      </c>
      <c r="H511" t="s">
        <v>74</v>
      </c>
      <c r="I511" t="s">
        <v>7087</v>
      </c>
      <c r="J511" t="s">
        <v>5938</v>
      </c>
      <c r="K511" t="s">
        <v>74</v>
      </c>
      <c r="L511" t="s">
        <v>74</v>
      </c>
      <c r="M511" t="s">
        <v>77</v>
      </c>
      <c r="N511" t="s">
        <v>435</v>
      </c>
      <c r="O511" t="s">
        <v>7073</v>
      </c>
      <c r="P511">
        <v>1998</v>
      </c>
      <c r="Q511" t="s">
        <v>7074</v>
      </c>
      <c r="R511" t="s">
        <v>74</v>
      </c>
      <c r="S511" t="s">
        <v>74</v>
      </c>
      <c r="T511" t="s">
        <v>7088</v>
      </c>
      <c r="U511" t="s">
        <v>7089</v>
      </c>
      <c r="V511" t="s">
        <v>7090</v>
      </c>
      <c r="W511" t="s">
        <v>7091</v>
      </c>
      <c r="X511" t="s">
        <v>7092</v>
      </c>
      <c r="Y511" t="s">
        <v>7093</v>
      </c>
      <c r="Z511" t="s">
        <v>74</v>
      </c>
      <c r="AA511" t="s">
        <v>7094</v>
      </c>
      <c r="AB511" t="s">
        <v>7095</v>
      </c>
      <c r="AC511" t="s">
        <v>74</v>
      </c>
      <c r="AD511" t="s">
        <v>74</v>
      </c>
      <c r="AE511" t="s">
        <v>74</v>
      </c>
      <c r="AF511" t="s">
        <v>74</v>
      </c>
      <c r="AG511">
        <v>93</v>
      </c>
      <c r="AH511">
        <v>149</v>
      </c>
      <c r="AI511">
        <v>170</v>
      </c>
      <c r="AJ511">
        <v>3</v>
      </c>
      <c r="AK511">
        <v>59</v>
      </c>
      <c r="AL511" t="s">
        <v>488</v>
      </c>
      <c r="AM511" t="s">
        <v>350</v>
      </c>
      <c r="AN511" t="s">
        <v>489</v>
      </c>
      <c r="AO511" t="s">
        <v>5944</v>
      </c>
      <c r="AP511" t="s">
        <v>74</v>
      </c>
      <c r="AQ511" t="s">
        <v>74</v>
      </c>
      <c r="AR511" t="s">
        <v>5945</v>
      </c>
      <c r="AS511" t="s">
        <v>5946</v>
      </c>
      <c r="AT511" t="s">
        <v>6688</v>
      </c>
      <c r="AU511">
        <v>2001</v>
      </c>
      <c r="AV511">
        <v>52</v>
      </c>
      <c r="AW511" t="s">
        <v>495</v>
      </c>
      <c r="AX511" t="s">
        <v>74</v>
      </c>
      <c r="AY511" t="s">
        <v>74</v>
      </c>
      <c r="AZ511" t="s">
        <v>74</v>
      </c>
      <c r="BA511" t="s">
        <v>74</v>
      </c>
      <c r="BB511">
        <v>121</v>
      </c>
      <c r="BC511">
        <v>139</v>
      </c>
      <c r="BD511" t="s">
        <v>74</v>
      </c>
      <c r="BE511" t="s">
        <v>7096</v>
      </c>
      <c r="BF511" t="str">
        <f>HYPERLINK("http://dx.doi.org/10.1016/S0165-7836(01)00236-3","http://dx.doi.org/10.1016/S0165-7836(01)00236-3")</f>
        <v>http://dx.doi.org/10.1016/S0165-7836(01)00236-3</v>
      </c>
      <c r="BG511" t="s">
        <v>74</v>
      </c>
      <c r="BH511" t="s">
        <v>74</v>
      </c>
      <c r="BI511">
        <v>19</v>
      </c>
      <c r="BJ511" t="s">
        <v>5948</v>
      </c>
      <c r="BK511" t="s">
        <v>453</v>
      </c>
      <c r="BL511" t="s">
        <v>5948</v>
      </c>
      <c r="BM511" t="s">
        <v>7084</v>
      </c>
      <c r="BN511" t="s">
        <v>74</v>
      </c>
      <c r="BO511" t="s">
        <v>74</v>
      </c>
      <c r="BP511" t="s">
        <v>74</v>
      </c>
      <c r="BQ511" t="s">
        <v>74</v>
      </c>
      <c r="BR511" t="s">
        <v>91</v>
      </c>
      <c r="BS511" t="s">
        <v>7097</v>
      </c>
      <c r="BT511" t="str">
        <f>HYPERLINK("https%3A%2F%2Fwww.webofscience.com%2Fwos%2Fwoscc%2Ffull-record%2FWOS:000168616000012","View Full Record in Web of Science")</f>
        <v>View Full Record in Web of Science</v>
      </c>
    </row>
    <row r="512" spans="1:72" x14ac:dyDescent="0.15">
      <c r="A512" t="s">
        <v>72</v>
      </c>
      <c r="B512" t="s">
        <v>7098</v>
      </c>
      <c r="C512" t="s">
        <v>74</v>
      </c>
      <c r="D512" t="s">
        <v>74</v>
      </c>
      <c r="E512" t="s">
        <v>74</v>
      </c>
      <c r="F512" t="s">
        <v>7098</v>
      </c>
      <c r="G512" t="s">
        <v>74</v>
      </c>
      <c r="H512" t="s">
        <v>74</v>
      </c>
      <c r="I512" t="s">
        <v>7099</v>
      </c>
      <c r="J512" t="s">
        <v>3626</v>
      </c>
      <c r="K512" t="s">
        <v>74</v>
      </c>
      <c r="L512" t="s">
        <v>74</v>
      </c>
      <c r="M512" t="s">
        <v>77</v>
      </c>
      <c r="N512" t="s">
        <v>120</v>
      </c>
      <c r="O512" t="s">
        <v>74</v>
      </c>
      <c r="P512" t="s">
        <v>74</v>
      </c>
      <c r="Q512" t="s">
        <v>74</v>
      </c>
      <c r="R512" t="s">
        <v>74</v>
      </c>
      <c r="S512" t="s">
        <v>74</v>
      </c>
      <c r="T512" t="s">
        <v>74</v>
      </c>
      <c r="U512" t="s">
        <v>7100</v>
      </c>
      <c r="V512" t="s">
        <v>7101</v>
      </c>
      <c r="W512" t="s">
        <v>7102</v>
      </c>
      <c r="X512" t="s">
        <v>7103</v>
      </c>
      <c r="Y512" t="s">
        <v>7104</v>
      </c>
      <c r="Z512" t="s">
        <v>7105</v>
      </c>
      <c r="AA512" t="s">
        <v>7106</v>
      </c>
      <c r="AB512" t="s">
        <v>7107</v>
      </c>
      <c r="AC512" t="s">
        <v>74</v>
      </c>
      <c r="AD512" t="s">
        <v>74</v>
      </c>
      <c r="AE512" t="s">
        <v>74</v>
      </c>
      <c r="AF512" t="s">
        <v>74</v>
      </c>
      <c r="AG512">
        <v>89</v>
      </c>
      <c r="AH512">
        <v>102</v>
      </c>
      <c r="AI512">
        <v>112</v>
      </c>
      <c r="AJ512">
        <v>0</v>
      </c>
      <c r="AK512">
        <v>12</v>
      </c>
      <c r="AL512" t="s">
        <v>79</v>
      </c>
      <c r="AM512" t="s">
        <v>80</v>
      </c>
      <c r="AN512" t="s">
        <v>81</v>
      </c>
      <c r="AO512" t="s">
        <v>3634</v>
      </c>
      <c r="AP512" t="s">
        <v>7108</v>
      </c>
      <c r="AQ512" t="s">
        <v>74</v>
      </c>
      <c r="AR512" t="s">
        <v>3635</v>
      </c>
      <c r="AS512" t="s">
        <v>3636</v>
      </c>
      <c r="AT512" t="s">
        <v>6688</v>
      </c>
      <c r="AU512">
        <v>2001</v>
      </c>
      <c r="AV512">
        <v>65</v>
      </c>
      <c r="AW512">
        <v>12</v>
      </c>
      <c r="AX512" t="s">
        <v>74</v>
      </c>
      <c r="AY512" t="s">
        <v>74</v>
      </c>
      <c r="AZ512" t="s">
        <v>74</v>
      </c>
      <c r="BA512" t="s">
        <v>74</v>
      </c>
      <c r="BB512">
        <v>1953</v>
      </c>
      <c r="BC512">
        <v>1969</v>
      </c>
      <c r="BD512" t="s">
        <v>74</v>
      </c>
      <c r="BE512" t="s">
        <v>7109</v>
      </c>
      <c r="BF512" t="str">
        <f>HYPERLINK("http://dx.doi.org/10.1016/S0016-7037(01)00566-X","http://dx.doi.org/10.1016/S0016-7037(01)00566-X")</f>
        <v>http://dx.doi.org/10.1016/S0016-7037(01)00566-X</v>
      </c>
      <c r="BG512" t="s">
        <v>74</v>
      </c>
      <c r="BH512" t="s">
        <v>74</v>
      </c>
      <c r="BI512">
        <v>17</v>
      </c>
      <c r="BJ512" t="s">
        <v>388</v>
      </c>
      <c r="BK512" t="s">
        <v>88</v>
      </c>
      <c r="BL512" t="s">
        <v>388</v>
      </c>
      <c r="BM512" t="s">
        <v>7110</v>
      </c>
      <c r="BN512" t="s">
        <v>74</v>
      </c>
      <c r="BO512" t="s">
        <v>74</v>
      </c>
      <c r="BP512" t="s">
        <v>74</v>
      </c>
      <c r="BQ512" t="s">
        <v>74</v>
      </c>
      <c r="BR512" t="s">
        <v>91</v>
      </c>
      <c r="BS512" t="s">
        <v>7111</v>
      </c>
      <c r="BT512" t="str">
        <f>HYPERLINK("https%3A%2F%2Fwww.webofscience.com%2Fwos%2Fwoscc%2Ffull-record%2FWOS:000169330000007","View Full Record in Web of Science")</f>
        <v>View Full Record in Web of Science</v>
      </c>
    </row>
    <row r="513" spans="1:72" x14ac:dyDescent="0.15">
      <c r="A513" t="s">
        <v>72</v>
      </c>
      <c r="B513" t="s">
        <v>7112</v>
      </c>
      <c r="C513" t="s">
        <v>74</v>
      </c>
      <c r="D513" t="s">
        <v>74</v>
      </c>
      <c r="E513" t="s">
        <v>74</v>
      </c>
      <c r="F513" t="s">
        <v>7112</v>
      </c>
      <c r="G513" t="s">
        <v>74</v>
      </c>
      <c r="H513" t="s">
        <v>74</v>
      </c>
      <c r="I513" t="s">
        <v>7113</v>
      </c>
      <c r="J513" t="s">
        <v>1055</v>
      </c>
      <c r="K513" t="s">
        <v>74</v>
      </c>
      <c r="L513" t="s">
        <v>74</v>
      </c>
      <c r="M513" t="s">
        <v>77</v>
      </c>
      <c r="N513" t="s">
        <v>120</v>
      </c>
      <c r="O513" t="s">
        <v>74</v>
      </c>
      <c r="P513" t="s">
        <v>74</v>
      </c>
      <c r="Q513" t="s">
        <v>74</v>
      </c>
      <c r="R513" t="s">
        <v>74</v>
      </c>
      <c r="S513" t="s">
        <v>74</v>
      </c>
      <c r="T513" t="s">
        <v>7114</v>
      </c>
      <c r="U513" t="s">
        <v>7115</v>
      </c>
      <c r="V513" t="s">
        <v>7116</v>
      </c>
      <c r="W513" t="s">
        <v>7117</v>
      </c>
      <c r="X513" t="s">
        <v>7118</v>
      </c>
      <c r="Y513" t="s">
        <v>7119</v>
      </c>
      <c r="Z513" t="s">
        <v>7120</v>
      </c>
      <c r="AA513" t="s">
        <v>7121</v>
      </c>
      <c r="AB513" t="s">
        <v>7122</v>
      </c>
      <c r="AC513" t="s">
        <v>74</v>
      </c>
      <c r="AD513" t="s">
        <v>74</v>
      </c>
      <c r="AE513" t="s">
        <v>74</v>
      </c>
      <c r="AF513" t="s">
        <v>74</v>
      </c>
      <c r="AG513">
        <v>42</v>
      </c>
      <c r="AH513">
        <v>19</v>
      </c>
      <c r="AI513">
        <v>21</v>
      </c>
      <c r="AJ513">
        <v>0</v>
      </c>
      <c r="AK513">
        <v>4</v>
      </c>
      <c r="AL513" t="s">
        <v>273</v>
      </c>
      <c r="AM513" t="s">
        <v>80</v>
      </c>
      <c r="AN513" t="s">
        <v>274</v>
      </c>
      <c r="AO513" t="s">
        <v>1063</v>
      </c>
      <c r="AP513" t="s">
        <v>1064</v>
      </c>
      <c r="AQ513" t="s">
        <v>74</v>
      </c>
      <c r="AR513" t="s">
        <v>1065</v>
      </c>
      <c r="AS513" t="s">
        <v>1066</v>
      </c>
      <c r="AT513" t="s">
        <v>6688</v>
      </c>
      <c r="AU513">
        <v>2001</v>
      </c>
      <c r="AV513">
        <v>145</v>
      </c>
      <c r="AW513">
        <v>3</v>
      </c>
      <c r="AX513" t="s">
        <v>74</v>
      </c>
      <c r="AY513" t="s">
        <v>74</v>
      </c>
      <c r="AZ513" t="s">
        <v>74</v>
      </c>
      <c r="BA513" t="s">
        <v>74</v>
      </c>
      <c r="BB513">
        <v>835</v>
      </c>
      <c r="BC513">
        <v>849</v>
      </c>
      <c r="BD513" t="s">
        <v>74</v>
      </c>
      <c r="BE513" t="s">
        <v>7123</v>
      </c>
      <c r="BF513" t="str">
        <f>HYPERLINK("http://dx.doi.org/10.1046/j.1365-246x.2001.01442.x","http://dx.doi.org/10.1046/j.1365-246x.2001.01442.x")</f>
        <v>http://dx.doi.org/10.1046/j.1365-246x.2001.01442.x</v>
      </c>
      <c r="BG513" t="s">
        <v>74</v>
      </c>
      <c r="BH513" t="s">
        <v>74</v>
      </c>
      <c r="BI513">
        <v>15</v>
      </c>
      <c r="BJ513" t="s">
        <v>388</v>
      </c>
      <c r="BK513" t="s">
        <v>88</v>
      </c>
      <c r="BL513" t="s">
        <v>388</v>
      </c>
      <c r="BM513" t="s">
        <v>7124</v>
      </c>
      <c r="BN513" t="s">
        <v>74</v>
      </c>
      <c r="BO513" t="s">
        <v>7125</v>
      </c>
      <c r="BP513" t="s">
        <v>74</v>
      </c>
      <c r="BQ513" t="s">
        <v>74</v>
      </c>
      <c r="BR513" t="s">
        <v>91</v>
      </c>
      <c r="BS513" t="s">
        <v>7126</v>
      </c>
      <c r="BT513" t="str">
        <f>HYPERLINK("https%3A%2F%2Fwww.webofscience.com%2Fwos%2Fwoscc%2Ffull-record%2FWOS:000169428800023","View Full Record in Web of Science")</f>
        <v>View Full Record in Web of Science</v>
      </c>
    </row>
    <row r="514" spans="1:72" x14ac:dyDescent="0.15">
      <c r="A514" t="s">
        <v>72</v>
      </c>
      <c r="B514" t="s">
        <v>7127</v>
      </c>
      <c r="C514" t="s">
        <v>74</v>
      </c>
      <c r="D514" t="s">
        <v>74</v>
      </c>
      <c r="E514" t="s">
        <v>74</v>
      </c>
      <c r="F514" t="s">
        <v>7127</v>
      </c>
      <c r="G514" t="s">
        <v>74</v>
      </c>
      <c r="H514" t="s">
        <v>74</v>
      </c>
      <c r="I514" t="s">
        <v>7128</v>
      </c>
      <c r="J514" t="s">
        <v>613</v>
      </c>
      <c r="K514" t="s">
        <v>74</v>
      </c>
      <c r="L514" t="s">
        <v>74</v>
      </c>
      <c r="M514" t="s">
        <v>77</v>
      </c>
      <c r="N514" t="s">
        <v>120</v>
      </c>
      <c r="O514" t="s">
        <v>74</v>
      </c>
      <c r="P514" t="s">
        <v>74</v>
      </c>
      <c r="Q514" t="s">
        <v>74</v>
      </c>
      <c r="R514" t="s">
        <v>74</v>
      </c>
      <c r="S514" t="s">
        <v>74</v>
      </c>
      <c r="T514" t="s">
        <v>74</v>
      </c>
      <c r="U514" t="s">
        <v>7129</v>
      </c>
      <c r="V514" t="s">
        <v>7130</v>
      </c>
      <c r="W514" t="s">
        <v>7131</v>
      </c>
      <c r="X514" t="s">
        <v>7132</v>
      </c>
      <c r="Y514" t="s">
        <v>7133</v>
      </c>
      <c r="Z514" t="s">
        <v>7134</v>
      </c>
      <c r="AA514" t="s">
        <v>7135</v>
      </c>
      <c r="AB514" t="s">
        <v>7136</v>
      </c>
      <c r="AC514" t="s">
        <v>74</v>
      </c>
      <c r="AD514" t="s">
        <v>74</v>
      </c>
      <c r="AE514" t="s">
        <v>74</v>
      </c>
      <c r="AF514" t="s">
        <v>74</v>
      </c>
      <c r="AG514">
        <v>21</v>
      </c>
      <c r="AH514">
        <v>119</v>
      </c>
      <c r="AI514">
        <v>138</v>
      </c>
      <c r="AJ514">
        <v>2</v>
      </c>
      <c r="AK514">
        <v>16</v>
      </c>
      <c r="AL514" t="s">
        <v>149</v>
      </c>
      <c r="AM514" t="s">
        <v>150</v>
      </c>
      <c r="AN514" t="s">
        <v>151</v>
      </c>
      <c r="AO514" t="s">
        <v>619</v>
      </c>
      <c r="AP514" t="s">
        <v>1094</v>
      </c>
      <c r="AQ514" t="s">
        <v>74</v>
      </c>
      <c r="AR514" t="s">
        <v>620</v>
      </c>
      <c r="AS514" t="s">
        <v>621</v>
      </c>
      <c r="AT514" t="s">
        <v>6947</v>
      </c>
      <c r="AU514">
        <v>2001</v>
      </c>
      <c r="AV514">
        <v>28</v>
      </c>
      <c r="AW514">
        <v>11</v>
      </c>
      <c r="AX514" t="s">
        <v>74</v>
      </c>
      <c r="AY514" t="s">
        <v>74</v>
      </c>
      <c r="AZ514" t="s">
        <v>74</v>
      </c>
      <c r="BA514" t="s">
        <v>74</v>
      </c>
      <c r="BB514">
        <v>2241</v>
      </c>
      <c r="BC514">
        <v>2244</v>
      </c>
      <c r="BD514" t="s">
        <v>74</v>
      </c>
      <c r="BE514" t="s">
        <v>7137</v>
      </c>
      <c r="BF514" t="str">
        <f>HYPERLINK("http://dx.doi.org/10.1029/2000GL012461","http://dx.doi.org/10.1029/2000GL012461")</f>
        <v>http://dx.doi.org/10.1029/2000GL012461</v>
      </c>
      <c r="BG514" t="s">
        <v>74</v>
      </c>
      <c r="BH514" t="s">
        <v>74</v>
      </c>
      <c r="BI514">
        <v>4</v>
      </c>
      <c r="BJ514" t="s">
        <v>300</v>
      </c>
      <c r="BK514" t="s">
        <v>88</v>
      </c>
      <c r="BL514" t="s">
        <v>113</v>
      </c>
      <c r="BM514" t="s">
        <v>7138</v>
      </c>
      <c r="BN514" t="s">
        <v>74</v>
      </c>
      <c r="BO514" t="s">
        <v>171</v>
      </c>
      <c r="BP514" t="s">
        <v>74</v>
      </c>
      <c r="BQ514" t="s">
        <v>74</v>
      </c>
      <c r="BR514" t="s">
        <v>91</v>
      </c>
      <c r="BS514" t="s">
        <v>7139</v>
      </c>
      <c r="BT514" t="str">
        <f>HYPERLINK("https%3A%2F%2Fwww.webofscience.com%2Fwos%2Fwoscc%2Ffull-record%2FWOS:000168831000026","View Full Record in Web of Science")</f>
        <v>View Full Record in Web of Science</v>
      </c>
    </row>
    <row r="515" spans="1:72" x14ac:dyDescent="0.15">
      <c r="A515" t="s">
        <v>72</v>
      </c>
      <c r="B515" t="s">
        <v>7140</v>
      </c>
      <c r="C515" t="s">
        <v>74</v>
      </c>
      <c r="D515" t="s">
        <v>74</v>
      </c>
      <c r="E515" t="s">
        <v>74</v>
      </c>
      <c r="F515" t="s">
        <v>7140</v>
      </c>
      <c r="G515" t="s">
        <v>74</v>
      </c>
      <c r="H515" t="s">
        <v>74</v>
      </c>
      <c r="I515" t="s">
        <v>7141</v>
      </c>
      <c r="J515" t="s">
        <v>7142</v>
      </c>
      <c r="K515" t="s">
        <v>74</v>
      </c>
      <c r="L515" t="s">
        <v>74</v>
      </c>
      <c r="M515" t="s">
        <v>77</v>
      </c>
      <c r="N515" t="s">
        <v>435</v>
      </c>
      <c r="O515" t="s">
        <v>7143</v>
      </c>
      <c r="P515" t="s">
        <v>7144</v>
      </c>
      <c r="Q515" t="s">
        <v>7145</v>
      </c>
      <c r="R515" t="s">
        <v>74</v>
      </c>
      <c r="S515" t="s">
        <v>74</v>
      </c>
      <c r="T515" t="s">
        <v>7146</v>
      </c>
      <c r="U515" t="s">
        <v>7147</v>
      </c>
      <c r="V515" t="s">
        <v>7148</v>
      </c>
      <c r="W515" t="s">
        <v>7149</v>
      </c>
      <c r="X515" t="s">
        <v>7150</v>
      </c>
      <c r="Y515" t="s">
        <v>7151</v>
      </c>
      <c r="Z515" t="s">
        <v>74</v>
      </c>
      <c r="AA515" t="s">
        <v>74</v>
      </c>
      <c r="AB515" t="s">
        <v>74</v>
      </c>
      <c r="AC515" t="s">
        <v>74</v>
      </c>
      <c r="AD515" t="s">
        <v>74</v>
      </c>
      <c r="AE515" t="s">
        <v>74</v>
      </c>
      <c r="AF515" t="s">
        <v>74</v>
      </c>
      <c r="AG515">
        <v>32</v>
      </c>
      <c r="AH515">
        <v>11</v>
      </c>
      <c r="AI515">
        <v>14</v>
      </c>
      <c r="AJ515">
        <v>1</v>
      </c>
      <c r="AK515">
        <v>10</v>
      </c>
      <c r="AL515" t="s">
        <v>1267</v>
      </c>
      <c r="AM515" t="s">
        <v>683</v>
      </c>
      <c r="AN515" t="s">
        <v>1268</v>
      </c>
      <c r="AO515" t="s">
        <v>7152</v>
      </c>
      <c r="AP515" t="s">
        <v>74</v>
      </c>
      <c r="AQ515" t="s">
        <v>74</v>
      </c>
      <c r="AR515" t="s">
        <v>7153</v>
      </c>
      <c r="AS515" t="s">
        <v>7154</v>
      </c>
      <c r="AT515" t="s">
        <v>6688</v>
      </c>
      <c r="AU515">
        <v>2001</v>
      </c>
      <c r="AV515">
        <v>58</v>
      </c>
      <c r="AW515">
        <v>3</v>
      </c>
      <c r="AX515" t="s">
        <v>74</v>
      </c>
      <c r="AY515" t="s">
        <v>74</v>
      </c>
      <c r="AZ515" t="s">
        <v>74</v>
      </c>
      <c r="BA515" t="s">
        <v>74</v>
      </c>
      <c r="BB515">
        <v>700</v>
      </c>
      <c r="BC515">
        <v>710</v>
      </c>
      <c r="BD515" t="s">
        <v>74</v>
      </c>
      <c r="BE515" t="s">
        <v>7155</v>
      </c>
      <c r="BF515" t="str">
        <f>HYPERLINK("http://dx.doi.org/10.1006/jmsc.2000.1055","http://dx.doi.org/10.1006/jmsc.2000.1055")</f>
        <v>http://dx.doi.org/10.1006/jmsc.2000.1055</v>
      </c>
      <c r="BG515" t="s">
        <v>74</v>
      </c>
      <c r="BH515" t="s">
        <v>74</v>
      </c>
      <c r="BI515">
        <v>11</v>
      </c>
      <c r="BJ515" t="s">
        <v>4079</v>
      </c>
      <c r="BK515" t="s">
        <v>453</v>
      </c>
      <c r="BL515" t="s">
        <v>4079</v>
      </c>
      <c r="BM515" t="s">
        <v>7156</v>
      </c>
      <c r="BN515" t="s">
        <v>74</v>
      </c>
      <c r="BO515" t="s">
        <v>74</v>
      </c>
      <c r="BP515" t="s">
        <v>74</v>
      </c>
      <c r="BQ515" t="s">
        <v>74</v>
      </c>
      <c r="BR515" t="s">
        <v>91</v>
      </c>
      <c r="BS515" t="s">
        <v>7157</v>
      </c>
      <c r="BT515" t="str">
        <f>HYPERLINK("https%3A%2F%2Fwww.webofscience.com%2Fwos%2Fwoscc%2Ffull-record%2FWOS:000169422200016","View Full Record in Web of Science")</f>
        <v>View Full Record in Web of Science</v>
      </c>
    </row>
    <row r="516" spans="1:72" x14ac:dyDescent="0.15">
      <c r="A516" t="s">
        <v>72</v>
      </c>
      <c r="B516" t="s">
        <v>7158</v>
      </c>
      <c r="C516" t="s">
        <v>74</v>
      </c>
      <c r="D516" t="s">
        <v>74</v>
      </c>
      <c r="E516" t="s">
        <v>74</v>
      </c>
      <c r="F516" t="s">
        <v>7158</v>
      </c>
      <c r="G516" t="s">
        <v>74</v>
      </c>
      <c r="H516" t="s">
        <v>74</v>
      </c>
      <c r="I516" t="s">
        <v>7159</v>
      </c>
      <c r="J516" t="s">
        <v>7160</v>
      </c>
      <c r="K516" t="s">
        <v>74</v>
      </c>
      <c r="L516" t="s">
        <v>74</v>
      </c>
      <c r="M516" t="s">
        <v>77</v>
      </c>
      <c r="N516" t="s">
        <v>120</v>
      </c>
      <c r="O516" t="s">
        <v>74</v>
      </c>
      <c r="P516" t="s">
        <v>74</v>
      </c>
      <c r="Q516" t="s">
        <v>74</v>
      </c>
      <c r="R516" t="s">
        <v>74</v>
      </c>
      <c r="S516" t="s">
        <v>74</v>
      </c>
      <c r="T516" t="s">
        <v>74</v>
      </c>
      <c r="U516" t="s">
        <v>7161</v>
      </c>
      <c r="V516" t="s">
        <v>7162</v>
      </c>
      <c r="W516" t="s">
        <v>7163</v>
      </c>
      <c r="X516" t="s">
        <v>7164</v>
      </c>
      <c r="Y516" t="s">
        <v>7165</v>
      </c>
      <c r="Z516" t="s">
        <v>7166</v>
      </c>
      <c r="AA516" t="s">
        <v>74</v>
      </c>
      <c r="AB516" t="s">
        <v>74</v>
      </c>
      <c r="AC516" t="s">
        <v>74</v>
      </c>
      <c r="AD516" t="s">
        <v>74</v>
      </c>
      <c r="AE516" t="s">
        <v>74</v>
      </c>
      <c r="AF516" t="s">
        <v>74</v>
      </c>
      <c r="AG516">
        <v>15</v>
      </c>
      <c r="AH516">
        <v>15</v>
      </c>
      <c r="AI516">
        <v>15</v>
      </c>
      <c r="AJ516">
        <v>0</v>
      </c>
      <c r="AK516">
        <v>15</v>
      </c>
      <c r="AL516" t="s">
        <v>7167</v>
      </c>
      <c r="AM516" t="s">
        <v>105</v>
      </c>
      <c r="AN516" t="s">
        <v>7168</v>
      </c>
      <c r="AO516" t="s">
        <v>7169</v>
      </c>
      <c r="AP516" t="s">
        <v>7170</v>
      </c>
      <c r="AQ516" t="s">
        <v>74</v>
      </c>
      <c r="AR516" t="s">
        <v>7171</v>
      </c>
      <c r="AS516" t="s">
        <v>7172</v>
      </c>
      <c r="AT516" t="s">
        <v>7173</v>
      </c>
      <c r="AU516">
        <v>2001</v>
      </c>
      <c r="AV516">
        <v>26</v>
      </c>
      <c r="AW516">
        <v>2</v>
      </c>
      <c r="AX516" t="s">
        <v>74</v>
      </c>
      <c r="AY516" t="s">
        <v>74</v>
      </c>
      <c r="AZ516" t="s">
        <v>74</v>
      </c>
      <c r="BA516" t="s">
        <v>74</v>
      </c>
      <c r="BB516">
        <v>90</v>
      </c>
      <c r="BC516">
        <v>96</v>
      </c>
      <c r="BD516" t="s">
        <v>74</v>
      </c>
      <c r="BE516" t="s">
        <v>74</v>
      </c>
      <c r="BF516" t="s">
        <v>74</v>
      </c>
      <c r="BG516" t="s">
        <v>74</v>
      </c>
      <c r="BH516" t="s">
        <v>74</v>
      </c>
      <c r="BI516">
        <v>7</v>
      </c>
      <c r="BJ516" t="s">
        <v>7174</v>
      </c>
      <c r="BK516" t="s">
        <v>4080</v>
      </c>
      <c r="BL516" t="s">
        <v>7175</v>
      </c>
      <c r="BM516" t="s">
        <v>7176</v>
      </c>
      <c r="BN516" t="s">
        <v>74</v>
      </c>
      <c r="BO516" t="s">
        <v>74</v>
      </c>
      <c r="BP516" t="s">
        <v>74</v>
      </c>
      <c r="BQ516" t="s">
        <v>74</v>
      </c>
      <c r="BR516" t="s">
        <v>91</v>
      </c>
      <c r="BS516" t="s">
        <v>7177</v>
      </c>
      <c r="BT516" t="str">
        <f>HYPERLINK("https%3A%2F%2Fwww.webofscience.com%2Fwos%2Fwoscc%2Ffull-record%2FWOS:000170308500004","View Full Record in Web of Science")</f>
        <v>View Full Record in Web of Science</v>
      </c>
    </row>
    <row r="517" spans="1:72" x14ac:dyDescent="0.15">
      <c r="A517" t="s">
        <v>72</v>
      </c>
      <c r="B517" t="s">
        <v>7178</v>
      </c>
      <c r="C517" t="s">
        <v>74</v>
      </c>
      <c r="D517" t="s">
        <v>74</v>
      </c>
      <c r="E517" t="s">
        <v>74</v>
      </c>
      <c r="F517" t="s">
        <v>7178</v>
      </c>
      <c r="G517" t="s">
        <v>74</v>
      </c>
      <c r="H517" t="s">
        <v>74</v>
      </c>
      <c r="I517" t="s">
        <v>7179</v>
      </c>
      <c r="J517" t="s">
        <v>1201</v>
      </c>
      <c r="K517" t="s">
        <v>74</v>
      </c>
      <c r="L517" t="s">
        <v>74</v>
      </c>
      <c r="M517" t="s">
        <v>77</v>
      </c>
      <c r="N517" t="s">
        <v>435</v>
      </c>
      <c r="O517" t="s">
        <v>7180</v>
      </c>
      <c r="P517" t="s">
        <v>7181</v>
      </c>
      <c r="Q517" t="s">
        <v>7182</v>
      </c>
      <c r="R517" t="s">
        <v>74</v>
      </c>
      <c r="S517" t="s">
        <v>7183</v>
      </c>
      <c r="T517" t="s">
        <v>7184</v>
      </c>
      <c r="U517" t="s">
        <v>7185</v>
      </c>
      <c r="V517" t="s">
        <v>7186</v>
      </c>
      <c r="W517" t="s">
        <v>7187</v>
      </c>
      <c r="X517" t="s">
        <v>7188</v>
      </c>
      <c r="Y517" t="s">
        <v>7189</v>
      </c>
      <c r="Z517" t="s">
        <v>7190</v>
      </c>
      <c r="AA517" t="s">
        <v>74</v>
      </c>
      <c r="AB517" t="s">
        <v>74</v>
      </c>
      <c r="AC517" t="s">
        <v>74</v>
      </c>
      <c r="AD517" t="s">
        <v>74</v>
      </c>
      <c r="AE517" t="s">
        <v>74</v>
      </c>
      <c r="AF517" t="s">
        <v>74</v>
      </c>
      <c r="AG517">
        <v>36</v>
      </c>
      <c r="AH517">
        <v>20</v>
      </c>
      <c r="AI517">
        <v>22</v>
      </c>
      <c r="AJ517">
        <v>1</v>
      </c>
      <c r="AK517">
        <v>8</v>
      </c>
      <c r="AL517" t="s">
        <v>79</v>
      </c>
      <c r="AM517" t="s">
        <v>80</v>
      </c>
      <c r="AN517" t="s">
        <v>81</v>
      </c>
      <c r="AO517" t="s">
        <v>1208</v>
      </c>
      <c r="AP517" t="s">
        <v>6082</v>
      </c>
      <c r="AQ517" t="s">
        <v>74</v>
      </c>
      <c r="AR517" t="s">
        <v>1209</v>
      </c>
      <c r="AS517" t="s">
        <v>1210</v>
      </c>
      <c r="AT517" t="s">
        <v>6688</v>
      </c>
      <c r="AU517">
        <v>2001</v>
      </c>
      <c r="AV517">
        <v>63</v>
      </c>
      <c r="AW517">
        <v>9</v>
      </c>
      <c r="AX517" t="s">
        <v>74</v>
      </c>
      <c r="AY517" t="s">
        <v>74</v>
      </c>
      <c r="AZ517" t="s">
        <v>74</v>
      </c>
      <c r="BA517" t="s">
        <v>74</v>
      </c>
      <c r="BB517">
        <v>801</v>
      </c>
      <c r="BC517">
        <v>811</v>
      </c>
      <c r="BD517" t="s">
        <v>74</v>
      </c>
      <c r="BE517" t="s">
        <v>7191</v>
      </c>
      <c r="BF517" t="str">
        <f>HYPERLINK("http://dx.doi.org/10.1016/S1364-6826(00)00194-2","http://dx.doi.org/10.1016/S1364-6826(00)00194-2")</f>
        <v>http://dx.doi.org/10.1016/S1364-6826(00)00194-2</v>
      </c>
      <c r="BG517" t="s">
        <v>74</v>
      </c>
      <c r="BH517" t="s">
        <v>74</v>
      </c>
      <c r="BI517">
        <v>11</v>
      </c>
      <c r="BJ517" t="s">
        <v>1212</v>
      </c>
      <c r="BK517" t="s">
        <v>816</v>
      </c>
      <c r="BL517" t="s">
        <v>1212</v>
      </c>
      <c r="BM517" t="s">
        <v>7192</v>
      </c>
      <c r="BN517" t="s">
        <v>74</v>
      </c>
      <c r="BO517" t="s">
        <v>74</v>
      </c>
      <c r="BP517" t="s">
        <v>74</v>
      </c>
      <c r="BQ517" t="s">
        <v>74</v>
      </c>
      <c r="BR517" t="s">
        <v>91</v>
      </c>
      <c r="BS517" t="s">
        <v>7193</v>
      </c>
      <c r="BT517" t="str">
        <f>HYPERLINK("https%3A%2F%2Fwww.webofscience.com%2Fwos%2Fwoscc%2Ffull-record%2FWOS:000169174300002","View Full Record in Web of Science")</f>
        <v>View Full Record in Web of Science</v>
      </c>
    </row>
    <row r="518" spans="1:72" x14ac:dyDescent="0.15">
      <c r="A518" t="s">
        <v>72</v>
      </c>
      <c r="B518" t="s">
        <v>7194</v>
      </c>
      <c r="C518" t="s">
        <v>74</v>
      </c>
      <c r="D518" t="s">
        <v>74</v>
      </c>
      <c r="E518" t="s">
        <v>74</v>
      </c>
      <c r="F518" t="s">
        <v>7194</v>
      </c>
      <c r="G518" t="s">
        <v>74</v>
      </c>
      <c r="H518" t="s">
        <v>74</v>
      </c>
      <c r="I518" t="s">
        <v>7195</v>
      </c>
      <c r="J518" t="s">
        <v>7196</v>
      </c>
      <c r="K518" t="s">
        <v>74</v>
      </c>
      <c r="L518" t="s">
        <v>74</v>
      </c>
      <c r="M518" t="s">
        <v>77</v>
      </c>
      <c r="N518" t="s">
        <v>120</v>
      </c>
      <c r="O518" t="s">
        <v>74</v>
      </c>
      <c r="P518" t="s">
        <v>74</v>
      </c>
      <c r="Q518" t="s">
        <v>74</v>
      </c>
      <c r="R518" t="s">
        <v>74</v>
      </c>
      <c r="S518" t="s">
        <v>74</v>
      </c>
      <c r="T518" t="s">
        <v>74</v>
      </c>
      <c r="U518" t="s">
        <v>7197</v>
      </c>
      <c r="V518" t="s">
        <v>7198</v>
      </c>
      <c r="W518" t="s">
        <v>7199</v>
      </c>
      <c r="X518" t="s">
        <v>7200</v>
      </c>
      <c r="Y518" t="s">
        <v>7201</v>
      </c>
      <c r="Z518" t="s">
        <v>74</v>
      </c>
      <c r="AA518" t="s">
        <v>7202</v>
      </c>
      <c r="AB518" t="s">
        <v>7203</v>
      </c>
      <c r="AC518" t="s">
        <v>74</v>
      </c>
      <c r="AD518" t="s">
        <v>74</v>
      </c>
      <c r="AE518" t="s">
        <v>74</v>
      </c>
      <c r="AF518" t="s">
        <v>74</v>
      </c>
      <c r="AG518">
        <v>24</v>
      </c>
      <c r="AH518">
        <v>11</v>
      </c>
      <c r="AI518">
        <v>12</v>
      </c>
      <c r="AJ518">
        <v>0</v>
      </c>
      <c r="AK518">
        <v>25</v>
      </c>
      <c r="AL518" t="s">
        <v>731</v>
      </c>
      <c r="AM518" t="s">
        <v>732</v>
      </c>
      <c r="AN518" t="s">
        <v>733</v>
      </c>
      <c r="AO518" t="s">
        <v>7204</v>
      </c>
      <c r="AP518" t="s">
        <v>74</v>
      </c>
      <c r="AQ518" t="s">
        <v>74</v>
      </c>
      <c r="AR518" t="s">
        <v>7205</v>
      </c>
      <c r="AS518" t="s">
        <v>7206</v>
      </c>
      <c r="AT518" t="s">
        <v>6688</v>
      </c>
      <c r="AU518">
        <v>2001</v>
      </c>
      <c r="AV518">
        <v>32</v>
      </c>
      <c r="AW518">
        <v>2</v>
      </c>
      <c r="AX518" t="s">
        <v>74</v>
      </c>
      <c r="AY518" t="s">
        <v>74</v>
      </c>
      <c r="AZ518" t="s">
        <v>74</v>
      </c>
      <c r="BA518" t="s">
        <v>74</v>
      </c>
      <c r="BB518">
        <v>139</v>
      </c>
      <c r="BC518">
        <v>145</v>
      </c>
      <c r="BD518" t="s">
        <v>74</v>
      </c>
      <c r="BE518" t="s">
        <v>7207</v>
      </c>
      <c r="BF518" t="str">
        <f>HYPERLINK("http://dx.doi.org/10.1034/j.1600-048X.2001.320206.x","http://dx.doi.org/10.1034/j.1600-048X.2001.320206.x")</f>
        <v>http://dx.doi.org/10.1034/j.1600-048X.2001.320206.x</v>
      </c>
      <c r="BG518" t="s">
        <v>74</v>
      </c>
      <c r="BH518" t="s">
        <v>74</v>
      </c>
      <c r="BI518">
        <v>7</v>
      </c>
      <c r="BJ518" t="s">
        <v>999</v>
      </c>
      <c r="BK518" t="s">
        <v>88</v>
      </c>
      <c r="BL518" t="s">
        <v>408</v>
      </c>
      <c r="BM518" t="s">
        <v>7208</v>
      </c>
      <c r="BN518" t="s">
        <v>74</v>
      </c>
      <c r="BO518" t="s">
        <v>74</v>
      </c>
      <c r="BP518" t="s">
        <v>74</v>
      </c>
      <c r="BQ518" t="s">
        <v>74</v>
      </c>
      <c r="BR518" t="s">
        <v>91</v>
      </c>
      <c r="BS518" t="s">
        <v>7209</v>
      </c>
      <c r="BT518" t="str">
        <f>HYPERLINK("https%3A%2F%2Fwww.webofscience.com%2Fwos%2Fwoscc%2Ffull-record%2FWOS:000169072500006","View Full Record in Web of Science")</f>
        <v>View Full Record in Web of Science</v>
      </c>
    </row>
    <row r="519" spans="1:72" x14ac:dyDescent="0.15">
      <c r="A519" t="s">
        <v>72</v>
      </c>
      <c r="B519" t="s">
        <v>7210</v>
      </c>
      <c r="C519" t="s">
        <v>74</v>
      </c>
      <c r="D519" t="s">
        <v>74</v>
      </c>
      <c r="E519" t="s">
        <v>74</v>
      </c>
      <c r="F519" t="s">
        <v>7210</v>
      </c>
      <c r="G519" t="s">
        <v>74</v>
      </c>
      <c r="H519" t="s">
        <v>74</v>
      </c>
      <c r="I519" t="s">
        <v>7211</v>
      </c>
      <c r="J519" t="s">
        <v>7212</v>
      </c>
      <c r="K519" t="s">
        <v>74</v>
      </c>
      <c r="L519" t="s">
        <v>74</v>
      </c>
      <c r="M519" t="s">
        <v>77</v>
      </c>
      <c r="N519" t="s">
        <v>120</v>
      </c>
      <c r="O519" t="s">
        <v>74</v>
      </c>
      <c r="P519" t="s">
        <v>74</v>
      </c>
      <c r="Q519" t="s">
        <v>74</v>
      </c>
      <c r="R519" t="s">
        <v>74</v>
      </c>
      <c r="S519" t="s">
        <v>74</v>
      </c>
      <c r="T519" t="s">
        <v>7213</v>
      </c>
      <c r="U519" t="s">
        <v>7214</v>
      </c>
      <c r="V519" t="s">
        <v>7215</v>
      </c>
      <c r="W519" t="s">
        <v>7216</v>
      </c>
      <c r="X519" t="s">
        <v>7217</v>
      </c>
      <c r="Y519" t="s">
        <v>3394</v>
      </c>
      <c r="Z519" t="s">
        <v>74</v>
      </c>
      <c r="AA519" t="s">
        <v>74</v>
      </c>
      <c r="AB519" t="s">
        <v>74</v>
      </c>
      <c r="AC519" t="s">
        <v>74</v>
      </c>
      <c r="AD519" t="s">
        <v>74</v>
      </c>
      <c r="AE519" t="s">
        <v>74</v>
      </c>
      <c r="AF519" t="s">
        <v>74</v>
      </c>
      <c r="AG519">
        <v>14</v>
      </c>
      <c r="AH519">
        <v>44</v>
      </c>
      <c r="AI519">
        <v>47</v>
      </c>
      <c r="AJ519">
        <v>0</v>
      </c>
      <c r="AK519">
        <v>8</v>
      </c>
      <c r="AL519" t="s">
        <v>488</v>
      </c>
      <c r="AM519" t="s">
        <v>350</v>
      </c>
      <c r="AN519" t="s">
        <v>489</v>
      </c>
      <c r="AO519" t="s">
        <v>7218</v>
      </c>
      <c r="AP519" t="s">
        <v>74</v>
      </c>
      <c r="AQ519" t="s">
        <v>74</v>
      </c>
      <c r="AR519" t="s">
        <v>7219</v>
      </c>
      <c r="AS519" t="s">
        <v>7220</v>
      </c>
      <c r="AT519" t="s">
        <v>6947</v>
      </c>
      <c r="AU519">
        <v>2001</v>
      </c>
      <c r="AV519">
        <v>919</v>
      </c>
      <c r="AW519">
        <v>1</v>
      </c>
      <c r="AX519" t="s">
        <v>74</v>
      </c>
      <c r="AY519" t="s">
        <v>74</v>
      </c>
      <c r="AZ519" t="s">
        <v>74</v>
      </c>
      <c r="BA519" t="s">
        <v>74</v>
      </c>
      <c r="BB519">
        <v>107</v>
      </c>
      <c r="BC519">
        <v>113</v>
      </c>
      <c r="BD519" t="s">
        <v>74</v>
      </c>
      <c r="BE519" t="s">
        <v>7221</v>
      </c>
      <c r="BF519" t="str">
        <f>HYPERLINK("http://dx.doi.org/10.1016/S0021-9673(01)00790-7","http://dx.doi.org/10.1016/S0021-9673(01)00790-7")</f>
        <v>http://dx.doi.org/10.1016/S0021-9673(01)00790-7</v>
      </c>
      <c r="BG519" t="s">
        <v>74</v>
      </c>
      <c r="BH519" t="s">
        <v>74</v>
      </c>
      <c r="BI519">
        <v>7</v>
      </c>
      <c r="BJ519" t="s">
        <v>7222</v>
      </c>
      <c r="BK519" t="s">
        <v>88</v>
      </c>
      <c r="BL519" t="s">
        <v>3456</v>
      </c>
      <c r="BM519" t="s">
        <v>7223</v>
      </c>
      <c r="BN519">
        <v>11459296</v>
      </c>
      <c r="BO519" t="s">
        <v>74</v>
      </c>
      <c r="BP519" t="s">
        <v>74</v>
      </c>
      <c r="BQ519" t="s">
        <v>74</v>
      </c>
      <c r="BR519" t="s">
        <v>91</v>
      </c>
      <c r="BS519" t="s">
        <v>7224</v>
      </c>
      <c r="BT519" t="str">
        <f>HYPERLINK("https%3A%2F%2Fwww.webofscience.com%2Fwos%2Fwoscc%2Ffull-record%2FWOS:000169259000012","View Full Record in Web of Science")</f>
        <v>View Full Record in Web of Science</v>
      </c>
    </row>
    <row r="520" spans="1:72" x14ac:dyDescent="0.15">
      <c r="A520" t="s">
        <v>72</v>
      </c>
      <c r="B520" t="s">
        <v>7225</v>
      </c>
      <c r="C520" t="s">
        <v>74</v>
      </c>
      <c r="D520" t="s">
        <v>74</v>
      </c>
      <c r="E520" t="s">
        <v>74</v>
      </c>
      <c r="F520" t="s">
        <v>7225</v>
      </c>
      <c r="G520" t="s">
        <v>74</v>
      </c>
      <c r="H520" t="s">
        <v>74</v>
      </c>
      <c r="I520" t="s">
        <v>7226</v>
      </c>
      <c r="J520" t="s">
        <v>1305</v>
      </c>
      <c r="K520" t="s">
        <v>74</v>
      </c>
      <c r="L520" t="s">
        <v>74</v>
      </c>
      <c r="M520" t="s">
        <v>77</v>
      </c>
      <c r="N520" t="s">
        <v>120</v>
      </c>
      <c r="O520" t="s">
        <v>74</v>
      </c>
      <c r="P520" t="s">
        <v>74</v>
      </c>
      <c r="Q520" t="s">
        <v>74</v>
      </c>
      <c r="R520" t="s">
        <v>74</v>
      </c>
      <c r="S520" t="s">
        <v>74</v>
      </c>
      <c r="T520" t="s">
        <v>74</v>
      </c>
      <c r="U520" t="s">
        <v>7227</v>
      </c>
      <c r="V520" t="s">
        <v>7228</v>
      </c>
      <c r="W520" t="s">
        <v>7229</v>
      </c>
      <c r="X520" t="s">
        <v>7230</v>
      </c>
      <c r="Y520" t="s">
        <v>7231</v>
      </c>
      <c r="Z520" t="s">
        <v>74</v>
      </c>
      <c r="AA520" t="s">
        <v>74</v>
      </c>
      <c r="AB520" t="s">
        <v>74</v>
      </c>
      <c r="AC520" t="s">
        <v>74</v>
      </c>
      <c r="AD520" t="s">
        <v>74</v>
      </c>
      <c r="AE520" t="s">
        <v>74</v>
      </c>
      <c r="AF520" t="s">
        <v>74</v>
      </c>
      <c r="AG520">
        <v>19</v>
      </c>
      <c r="AH520">
        <v>98</v>
      </c>
      <c r="AI520">
        <v>120</v>
      </c>
      <c r="AJ520">
        <v>0</v>
      </c>
      <c r="AK520">
        <v>11</v>
      </c>
      <c r="AL520" t="s">
        <v>508</v>
      </c>
      <c r="AM520" t="s">
        <v>150</v>
      </c>
      <c r="AN520" t="s">
        <v>509</v>
      </c>
      <c r="AO520" t="s">
        <v>1314</v>
      </c>
      <c r="AP520" t="s">
        <v>74</v>
      </c>
      <c r="AQ520" t="s">
        <v>74</v>
      </c>
      <c r="AR520" t="s">
        <v>1315</v>
      </c>
      <c r="AS520" t="s">
        <v>1316</v>
      </c>
      <c r="AT520" t="s">
        <v>6688</v>
      </c>
      <c r="AU520">
        <v>2001</v>
      </c>
      <c r="AV520">
        <v>64</v>
      </c>
      <c r="AW520">
        <v>6</v>
      </c>
      <c r="AX520" t="s">
        <v>74</v>
      </c>
      <c r="AY520" t="s">
        <v>74</v>
      </c>
      <c r="AZ520" t="s">
        <v>74</v>
      </c>
      <c r="BA520" t="s">
        <v>74</v>
      </c>
      <c r="BB520">
        <v>732</v>
      </c>
      <c r="BC520">
        <v>736</v>
      </c>
      <c r="BD520" t="s">
        <v>74</v>
      </c>
      <c r="BE520" t="s">
        <v>7232</v>
      </c>
      <c r="BF520" t="str">
        <f>HYPERLINK("http://dx.doi.org/10.1021/np000584i","http://dx.doi.org/10.1021/np000584i")</f>
        <v>http://dx.doi.org/10.1021/np000584i</v>
      </c>
      <c r="BG520" t="s">
        <v>74</v>
      </c>
      <c r="BH520" t="s">
        <v>74</v>
      </c>
      <c r="BI520">
        <v>5</v>
      </c>
      <c r="BJ520" t="s">
        <v>1318</v>
      </c>
      <c r="BK520" t="s">
        <v>7233</v>
      </c>
      <c r="BL520" t="s">
        <v>1320</v>
      </c>
      <c r="BM520" t="s">
        <v>7234</v>
      </c>
      <c r="BN520">
        <v>11421733</v>
      </c>
      <c r="BO520" t="s">
        <v>761</v>
      </c>
      <c r="BP520" t="s">
        <v>74</v>
      </c>
      <c r="BQ520" t="s">
        <v>74</v>
      </c>
      <c r="BR520" t="s">
        <v>91</v>
      </c>
      <c r="BS520" t="s">
        <v>7235</v>
      </c>
      <c r="BT520" t="str">
        <f>HYPERLINK("https%3A%2F%2Fwww.webofscience.com%2Fwos%2Fwoscc%2Ffull-record%2FWOS:000169480900009","View Full Record in Web of Science")</f>
        <v>View Full Record in Web of Science</v>
      </c>
    </row>
    <row r="521" spans="1:72" x14ac:dyDescent="0.15">
      <c r="A521" t="s">
        <v>72</v>
      </c>
      <c r="B521" t="s">
        <v>7236</v>
      </c>
      <c r="C521" t="s">
        <v>74</v>
      </c>
      <c r="D521" t="s">
        <v>74</v>
      </c>
      <c r="E521" t="s">
        <v>74</v>
      </c>
      <c r="F521" t="s">
        <v>7236</v>
      </c>
      <c r="G521" t="s">
        <v>74</v>
      </c>
      <c r="H521" t="s">
        <v>74</v>
      </c>
      <c r="I521" t="s">
        <v>7237</v>
      </c>
      <c r="J521" t="s">
        <v>7238</v>
      </c>
      <c r="K521" t="s">
        <v>74</v>
      </c>
      <c r="L521" t="s">
        <v>74</v>
      </c>
      <c r="M521" t="s">
        <v>77</v>
      </c>
      <c r="N521" t="s">
        <v>120</v>
      </c>
      <c r="O521" t="s">
        <v>74</v>
      </c>
      <c r="P521" t="s">
        <v>74</v>
      </c>
      <c r="Q521" t="s">
        <v>74</v>
      </c>
      <c r="R521" t="s">
        <v>74</v>
      </c>
      <c r="S521" t="s">
        <v>74</v>
      </c>
      <c r="T521" t="s">
        <v>7239</v>
      </c>
      <c r="U521" t="s">
        <v>7240</v>
      </c>
      <c r="V521" t="s">
        <v>7241</v>
      </c>
      <c r="W521" t="s">
        <v>7242</v>
      </c>
      <c r="X521" t="s">
        <v>7243</v>
      </c>
      <c r="Y521" t="s">
        <v>7244</v>
      </c>
      <c r="Z521" t="s">
        <v>7245</v>
      </c>
      <c r="AA521" t="s">
        <v>7246</v>
      </c>
      <c r="AB521" t="s">
        <v>7247</v>
      </c>
      <c r="AC521" t="s">
        <v>74</v>
      </c>
      <c r="AD521" t="s">
        <v>74</v>
      </c>
      <c r="AE521" t="s">
        <v>74</v>
      </c>
      <c r="AF521" t="s">
        <v>74</v>
      </c>
      <c r="AG521">
        <v>69</v>
      </c>
      <c r="AH521">
        <v>236</v>
      </c>
      <c r="AI521">
        <v>281</v>
      </c>
      <c r="AJ521">
        <v>0</v>
      </c>
      <c r="AK521">
        <v>27</v>
      </c>
      <c r="AL521" t="s">
        <v>273</v>
      </c>
      <c r="AM521" t="s">
        <v>80</v>
      </c>
      <c r="AN521" t="s">
        <v>274</v>
      </c>
      <c r="AO521" t="s">
        <v>7248</v>
      </c>
      <c r="AP521" t="s">
        <v>74</v>
      </c>
      <c r="AQ521" t="s">
        <v>74</v>
      </c>
      <c r="AR521" t="s">
        <v>7249</v>
      </c>
      <c r="AS521" t="s">
        <v>7250</v>
      </c>
      <c r="AT521" t="s">
        <v>6688</v>
      </c>
      <c r="AU521">
        <v>2001</v>
      </c>
      <c r="AV521">
        <v>42</v>
      </c>
      <c r="AW521">
        <v>6</v>
      </c>
      <c r="AX521" t="s">
        <v>74</v>
      </c>
      <c r="AY521" t="s">
        <v>74</v>
      </c>
      <c r="AZ521" t="s">
        <v>74</v>
      </c>
      <c r="BA521" t="s">
        <v>74</v>
      </c>
      <c r="BB521">
        <v>1043</v>
      </c>
      <c r="BC521">
        <v>1065</v>
      </c>
      <c r="BD521" t="s">
        <v>74</v>
      </c>
      <c r="BE521" t="s">
        <v>7251</v>
      </c>
      <c r="BF521" t="str">
        <f>HYPERLINK("http://dx.doi.org/10.1093/petrology/42.6.1043","http://dx.doi.org/10.1093/petrology/42.6.1043")</f>
        <v>http://dx.doi.org/10.1093/petrology/42.6.1043</v>
      </c>
      <c r="BG521" t="s">
        <v>74</v>
      </c>
      <c r="BH521" t="s">
        <v>74</v>
      </c>
      <c r="BI521">
        <v>23</v>
      </c>
      <c r="BJ521" t="s">
        <v>388</v>
      </c>
      <c r="BK521" t="s">
        <v>88</v>
      </c>
      <c r="BL521" t="s">
        <v>388</v>
      </c>
      <c r="BM521" t="s">
        <v>7252</v>
      </c>
      <c r="BN521" t="s">
        <v>74</v>
      </c>
      <c r="BO521" t="s">
        <v>171</v>
      </c>
      <c r="BP521" t="s">
        <v>74</v>
      </c>
      <c r="BQ521" t="s">
        <v>74</v>
      </c>
      <c r="BR521" t="s">
        <v>91</v>
      </c>
      <c r="BS521" t="s">
        <v>7253</v>
      </c>
      <c r="BT521" t="str">
        <f>HYPERLINK("https%3A%2F%2Fwww.webofscience.com%2Fwos%2Fwoscc%2Ffull-record%2FWOS:000169475700001","View Full Record in Web of Science")</f>
        <v>View Full Record in Web of Science</v>
      </c>
    </row>
    <row r="522" spans="1:72" x14ac:dyDescent="0.15">
      <c r="A522" t="s">
        <v>72</v>
      </c>
      <c r="B522" t="s">
        <v>7254</v>
      </c>
      <c r="C522" t="s">
        <v>74</v>
      </c>
      <c r="D522" t="s">
        <v>74</v>
      </c>
      <c r="E522" t="s">
        <v>74</v>
      </c>
      <c r="F522" t="s">
        <v>7254</v>
      </c>
      <c r="G522" t="s">
        <v>74</v>
      </c>
      <c r="H522" t="s">
        <v>74</v>
      </c>
      <c r="I522" t="s">
        <v>7255</v>
      </c>
      <c r="J522" t="s">
        <v>7238</v>
      </c>
      <c r="K522" t="s">
        <v>74</v>
      </c>
      <c r="L522" t="s">
        <v>74</v>
      </c>
      <c r="M522" t="s">
        <v>77</v>
      </c>
      <c r="N522" t="s">
        <v>120</v>
      </c>
      <c r="O522" t="s">
        <v>74</v>
      </c>
      <c r="P522" t="s">
        <v>74</v>
      </c>
      <c r="Q522" t="s">
        <v>74</v>
      </c>
      <c r="R522" t="s">
        <v>74</v>
      </c>
      <c r="S522" t="s">
        <v>74</v>
      </c>
      <c r="T522" t="s">
        <v>7256</v>
      </c>
      <c r="U522" t="s">
        <v>7257</v>
      </c>
      <c r="V522" t="s">
        <v>7258</v>
      </c>
      <c r="W522" t="s">
        <v>4393</v>
      </c>
      <c r="X522" t="s">
        <v>4394</v>
      </c>
      <c r="Y522" t="s">
        <v>7259</v>
      </c>
      <c r="Z522" t="s">
        <v>74</v>
      </c>
      <c r="AA522" t="s">
        <v>7260</v>
      </c>
      <c r="AB522" t="s">
        <v>7261</v>
      </c>
      <c r="AC522" t="s">
        <v>74</v>
      </c>
      <c r="AD522" t="s">
        <v>74</v>
      </c>
      <c r="AE522" t="s">
        <v>74</v>
      </c>
      <c r="AF522" t="s">
        <v>74</v>
      </c>
      <c r="AG522">
        <v>97</v>
      </c>
      <c r="AH522">
        <v>174</v>
      </c>
      <c r="AI522">
        <v>191</v>
      </c>
      <c r="AJ522">
        <v>0</v>
      </c>
      <c r="AK522">
        <v>26</v>
      </c>
      <c r="AL522" t="s">
        <v>273</v>
      </c>
      <c r="AM522" t="s">
        <v>80</v>
      </c>
      <c r="AN522" t="s">
        <v>274</v>
      </c>
      <c r="AO522" t="s">
        <v>7248</v>
      </c>
      <c r="AP522" t="s">
        <v>74</v>
      </c>
      <c r="AQ522" t="s">
        <v>74</v>
      </c>
      <c r="AR522" t="s">
        <v>7249</v>
      </c>
      <c r="AS522" t="s">
        <v>7250</v>
      </c>
      <c r="AT522" t="s">
        <v>6688</v>
      </c>
      <c r="AU522">
        <v>2001</v>
      </c>
      <c r="AV522">
        <v>42</v>
      </c>
      <c r="AW522">
        <v>6</v>
      </c>
      <c r="AX522" t="s">
        <v>74</v>
      </c>
      <c r="AY522" t="s">
        <v>74</v>
      </c>
      <c r="AZ522" t="s">
        <v>74</v>
      </c>
      <c r="BA522" t="s">
        <v>74</v>
      </c>
      <c r="BB522">
        <v>1067</v>
      </c>
      <c r="BC522">
        <v>1094</v>
      </c>
      <c r="BD522" t="s">
        <v>74</v>
      </c>
      <c r="BE522" t="s">
        <v>7262</v>
      </c>
      <c r="BF522" t="str">
        <f>HYPERLINK("http://dx.doi.org/10.1093/petrology/42.6.1067","http://dx.doi.org/10.1093/petrology/42.6.1067")</f>
        <v>http://dx.doi.org/10.1093/petrology/42.6.1067</v>
      </c>
      <c r="BG522" t="s">
        <v>74</v>
      </c>
      <c r="BH522" t="s">
        <v>74</v>
      </c>
      <c r="BI522">
        <v>28</v>
      </c>
      <c r="BJ522" t="s">
        <v>388</v>
      </c>
      <c r="BK522" t="s">
        <v>88</v>
      </c>
      <c r="BL522" t="s">
        <v>388</v>
      </c>
      <c r="BM522" t="s">
        <v>7252</v>
      </c>
      <c r="BN522" t="s">
        <v>74</v>
      </c>
      <c r="BO522" t="s">
        <v>171</v>
      </c>
      <c r="BP522" t="s">
        <v>74</v>
      </c>
      <c r="BQ522" t="s">
        <v>74</v>
      </c>
      <c r="BR522" t="s">
        <v>91</v>
      </c>
      <c r="BS522" t="s">
        <v>7263</v>
      </c>
      <c r="BT522" t="str">
        <f>HYPERLINK("https%3A%2F%2Fwww.webofscience.com%2Fwos%2Fwoscc%2Ffull-record%2FWOS:000169475700002","View Full Record in Web of Science")</f>
        <v>View Full Record in Web of Science</v>
      </c>
    </row>
    <row r="523" spans="1:72" x14ac:dyDescent="0.15">
      <c r="A523" t="s">
        <v>72</v>
      </c>
      <c r="B523" t="s">
        <v>7264</v>
      </c>
      <c r="C523" t="s">
        <v>74</v>
      </c>
      <c r="D523" t="s">
        <v>74</v>
      </c>
      <c r="E523" t="s">
        <v>74</v>
      </c>
      <c r="F523" t="s">
        <v>7264</v>
      </c>
      <c r="G523" t="s">
        <v>74</v>
      </c>
      <c r="H523" t="s">
        <v>74</v>
      </c>
      <c r="I523" t="s">
        <v>7265</v>
      </c>
      <c r="J523" t="s">
        <v>2560</v>
      </c>
      <c r="K523" t="s">
        <v>74</v>
      </c>
      <c r="L523" t="s">
        <v>74</v>
      </c>
      <c r="M523" t="s">
        <v>77</v>
      </c>
      <c r="N523" t="s">
        <v>120</v>
      </c>
      <c r="O523" t="s">
        <v>74</v>
      </c>
      <c r="P523" t="s">
        <v>74</v>
      </c>
      <c r="Q523" t="s">
        <v>74</v>
      </c>
      <c r="R523" t="s">
        <v>74</v>
      </c>
      <c r="S523" t="s">
        <v>74</v>
      </c>
      <c r="T523" t="s">
        <v>74</v>
      </c>
      <c r="U523" t="s">
        <v>7266</v>
      </c>
      <c r="V523" t="s">
        <v>7267</v>
      </c>
      <c r="W523" t="s">
        <v>7268</v>
      </c>
      <c r="X523" t="s">
        <v>7269</v>
      </c>
      <c r="Y523" t="s">
        <v>7270</v>
      </c>
      <c r="Z523" t="s">
        <v>74</v>
      </c>
      <c r="AA523" t="s">
        <v>7271</v>
      </c>
      <c r="AB523" t="s">
        <v>7272</v>
      </c>
      <c r="AC523" t="s">
        <v>74</v>
      </c>
      <c r="AD523" t="s">
        <v>74</v>
      </c>
      <c r="AE523" t="s">
        <v>74</v>
      </c>
      <c r="AF523" t="s">
        <v>74</v>
      </c>
      <c r="AG523">
        <v>43</v>
      </c>
      <c r="AH523">
        <v>37</v>
      </c>
      <c r="AI523">
        <v>37</v>
      </c>
      <c r="AJ523">
        <v>0</v>
      </c>
      <c r="AK523">
        <v>6</v>
      </c>
      <c r="AL523" t="s">
        <v>273</v>
      </c>
      <c r="AM523" t="s">
        <v>80</v>
      </c>
      <c r="AN523" t="s">
        <v>274</v>
      </c>
      <c r="AO523" t="s">
        <v>2569</v>
      </c>
      <c r="AP523" t="s">
        <v>74</v>
      </c>
      <c r="AQ523" t="s">
        <v>74</v>
      </c>
      <c r="AR523" t="s">
        <v>2571</v>
      </c>
      <c r="AS523" t="s">
        <v>2572</v>
      </c>
      <c r="AT523" t="s">
        <v>6688</v>
      </c>
      <c r="AU523">
        <v>2001</v>
      </c>
      <c r="AV523">
        <v>23</v>
      </c>
      <c r="AW523">
        <v>6</v>
      </c>
      <c r="AX523" t="s">
        <v>74</v>
      </c>
      <c r="AY523" t="s">
        <v>74</v>
      </c>
      <c r="AZ523" t="s">
        <v>74</v>
      </c>
      <c r="BA523" t="s">
        <v>74</v>
      </c>
      <c r="BB523">
        <v>611</v>
      </c>
      <c r="BC523">
        <v>622</v>
      </c>
      <c r="BD523" t="s">
        <v>74</v>
      </c>
      <c r="BE523" t="s">
        <v>7273</v>
      </c>
      <c r="BF523" t="str">
        <f>HYPERLINK("http://dx.doi.org/10.1093/plankt/23.6.611","http://dx.doi.org/10.1093/plankt/23.6.611")</f>
        <v>http://dx.doi.org/10.1093/plankt/23.6.611</v>
      </c>
      <c r="BG523" t="s">
        <v>74</v>
      </c>
      <c r="BH523" t="s">
        <v>74</v>
      </c>
      <c r="BI523">
        <v>12</v>
      </c>
      <c r="BJ523" t="s">
        <v>2574</v>
      </c>
      <c r="BK523" t="s">
        <v>88</v>
      </c>
      <c r="BL523" t="s">
        <v>2574</v>
      </c>
      <c r="BM523" t="s">
        <v>7274</v>
      </c>
      <c r="BN523" t="s">
        <v>74</v>
      </c>
      <c r="BO523" t="s">
        <v>74</v>
      </c>
      <c r="BP523" t="s">
        <v>74</v>
      </c>
      <c r="BQ523" t="s">
        <v>74</v>
      </c>
      <c r="BR523" t="s">
        <v>91</v>
      </c>
      <c r="BS523" t="s">
        <v>7275</v>
      </c>
      <c r="BT523" t="str">
        <f>HYPERLINK("https%3A%2F%2Fwww.webofscience.com%2Fwos%2Fwoscc%2Ffull-record%2FWOS:000170094600005","View Full Record in Web of Science")</f>
        <v>View Full Record in Web of Science</v>
      </c>
    </row>
    <row r="524" spans="1:72" x14ac:dyDescent="0.15">
      <c r="A524" t="s">
        <v>72</v>
      </c>
      <c r="B524" t="s">
        <v>7276</v>
      </c>
      <c r="C524" t="s">
        <v>74</v>
      </c>
      <c r="D524" t="s">
        <v>74</v>
      </c>
      <c r="E524" t="s">
        <v>74</v>
      </c>
      <c r="F524" t="s">
        <v>7276</v>
      </c>
      <c r="G524" t="s">
        <v>74</v>
      </c>
      <c r="H524" t="s">
        <v>74</v>
      </c>
      <c r="I524" t="s">
        <v>7277</v>
      </c>
      <c r="J524" t="s">
        <v>7278</v>
      </c>
      <c r="K524" t="s">
        <v>74</v>
      </c>
      <c r="L524" t="s">
        <v>74</v>
      </c>
      <c r="M524" t="s">
        <v>77</v>
      </c>
      <c r="N524" t="s">
        <v>120</v>
      </c>
      <c r="O524" t="s">
        <v>74</v>
      </c>
      <c r="P524" t="s">
        <v>74</v>
      </c>
      <c r="Q524" t="s">
        <v>74</v>
      </c>
      <c r="R524" t="s">
        <v>74</v>
      </c>
      <c r="S524" t="s">
        <v>74</v>
      </c>
      <c r="T524" t="s">
        <v>7279</v>
      </c>
      <c r="U524" t="s">
        <v>7280</v>
      </c>
      <c r="V524" t="s">
        <v>7281</v>
      </c>
      <c r="W524" t="s">
        <v>7282</v>
      </c>
      <c r="X524" t="s">
        <v>7283</v>
      </c>
      <c r="Y524" t="s">
        <v>7284</v>
      </c>
      <c r="Z524" t="s">
        <v>74</v>
      </c>
      <c r="AA524" t="s">
        <v>7285</v>
      </c>
      <c r="AB524" t="s">
        <v>7286</v>
      </c>
      <c r="AC524" t="s">
        <v>74</v>
      </c>
      <c r="AD524" t="s">
        <v>74</v>
      </c>
      <c r="AE524" t="s">
        <v>74</v>
      </c>
      <c r="AF524" t="s">
        <v>74</v>
      </c>
      <c r="AG524">
        <v>12</v>
      </c>
      <c r="AH524">
        <v>15</v>
      </c>
      <c r="AI524">
        <v>16</v>
      </c>
      <c r="AJ524">
        <v>1</v>
      </c>
      <c r="AK524">
        <v>5</v>
      </c>
      <c r="AL524" t="s">
        <v>7287</v>
      </c>
      <c r="AM524" t="s">
        <v>7288</v>
      </c>
      <c r="AN524" t="s">
        <v>7289</v>
      </c>
      <c r="AO524" t="s">
        <v>7290</v>
      </c>
      <c r="AP524" t="s">
        <v>74</v>
      </c>
      <c r="AQ524" t="s">
        <v>74</v>
      </c>
      <c r="AR524" t="s">
        <v>7291</v>
      </c>
      <c r="AS524" t="s">
        <v>7292</v>
      </c>
      <c r="AT524" t="s">
        <v>6688</v>
      </c>
      <c r="AU524">
        <v>2001</v>
      </c>
      <c r="AV524">
        <v>20</v>
      </c>
      <c r="AW524">
        <v>1</v>
      </c>
      <c r="AX524" t="s">
        <v>74</v>
      </c>
      <c r="AY524" t="s">
        <v>74</v>
      </c>
      <c r="AZ524" t="s">
        <v>74</v>
      </c>
      <c r="BA524" t="s">
        <v>74</v>
      </c>
      <c r="BB524">
        <v>283</v>
      </c>
      <c r="BC524">
        <v>287</v>
      </c>
      <c r="BD524" t="s">
        <v>74</v>
      </c>
      <c r="BE524" t="s">
        <v>74</v>
      </c>
      <c r="BF524" t="s">
        <v>74</v>
      </c>
      <c r="BG524" t="s">
        <v>74</v>
      </c>
      <c r="BH524" t="s">
        <v>74</v>
      </c>
      <c r="BI524">
        <v>5</v>
      </c>
      <c r="BJ524" t="s">
        <v>1255</v>
      </c>
      <c r="BK524" t="s">
        <v>88</v>
      </c>
      <c r="BL524" t="s">
        <v>1255</v>
      </c>
      <c r="BM524" t="s">
        <v>7293</v>
      </c>
      <c r="BN524" t="s">
        <v>74</v>
      </c>
      <c r="BO524" t="s">
        <v>74</v>
      </c>
      <c r="BP524" t="s">
        <v>74</v>
      </c>
      <c r="BQ524" t="s">
        <v>74</v>
      </c>
      <c r="BR524" t="s">
        <v>91</v>
      </c>
      <c r="BS524" t="s">
        <v>7294</v>
      </c>
      <c r="BT524" t="str">
        <f>HYPERLINK("https%3A%2F%2Fwww.webofscience.com%2Fwos%2Fwoscc%2Ffull-record%2FWOS:000171043000035","View Full Record in Web of Science")</f>
        <v>View Full Record in Web of Science</v>
      </c>
    </row>
    <row r="525" spans="1:72" x14ac:dyDescent="0.15">
      <c r="A525" t="s">
        <v>72</v>
      </c>
      <c r="B525" t="s">
        <v>7295</v>
      </c>
      <c r="C525" t="s">
        <v>74</v>
      </c>
      <c r="D525" t="s">
        <v>74</v>
      </c>
      <c r="E525" t="s">
        <v>74</v>
      </c>
      <c r="F525" t="s">
        <v>7295</v>
      </c>
      <c r="G525" t="s">
        <v>74</v>
      </c>
      <c r="H525" t="s">
        <v>74</v>
      </c>
      <c r="I525" t="s">
        <v>7296</v>
      </c>
      <c r="J525" t="s">
        <v>5225</v>
      </c>
      <c r="K525" t="s">
        <v>74</v>
      </c>
      <c r="L525" t="s">
        <v>74</v>
      </c>
      <c r="M525" t="s">
        <v>77</v>
      </c>
      <c r="N525" t="s">
        <v>120</v>
      </c>
      <c r="O525" t="s">
        <v>74</v>
      </c>
      <c r="P525" t="s">
        <v>74</v>
      </c>
      <c r="Q525" t="s">
        <v>74</v>
      </c>
      <c r="R525" t="s">
        <v>74</v>
      </c>
      <c r="S525" t="s">
        <v>74</v>
      </c>
      <c r="T525" t="s">
        <v>74</v>
      </c>
      <c r="U525" t="s">
        <v>7297</v>
      </c>
      <c r="V525" t="s">
        <v>7298</v>
      </c>
      <c r="W525" t="s">
        <v>7299</v>
      </c>
      <c r="X525" t="s">
        <v>7300</v>
      </c>
      <c r="Y525" t="s">
        <v>7301</v>
      </c>
      <c r="Z525" t="s">
        <v>7302</v>
      </c>
      <c r="AA525" t="s">
        <v>74</v>
      </c>
      <c r="AB525" t="s">
        <v>74</v>
      </c>
      <c r="AC525" t="s">
        <v>74</v>
      </c>
      <c r="AD525" t="s">
        <v>74</v>
      </c>
      <c r="AE525" t="s">
        <v>74</v>
      </c>
      <c r="AF525" t="s">
        <v>74</v>
      </c>
      <c r="AG525">
        <v>33</v>
      </c>
      <c r="AH525">
        <v>8</v>
      </c>
      <c r="AI525">
        <v>11</v>
      </c>
      <c r="AJ525">
        <v>1</v>
      </c>
      <c r="AK525">
        <v>8</v>
      </c>
      <c r="AL525" t="s">
        <v>1293</v>
      </c>
      <c r="AM525" t="s">
        <v>204</v>
      </c>
      <c r="AN525" t="s">
        <v>1699</v>
      </c>
      <c r="AO525" t="s">
        <v>5230</v>
      </c>
      <c r="AP525" t="s">
        <v>7303</v>
      </c>
      <c r="AQ525" t="s">
        <v>74</v>
      </c>
      <c r="AR525" t="s">
        <v>5231</v>
      </c>
      <c r="AS525" t="s">
        <v>5232</v>
      </c>
      <c r="AT525" t="s">
        <v>6688</v>
      </c>
      <c r="AU525">
        <v>2001</v>
      </c>
      <c r="AV525">
        <v>81</v>
      </c>
      <c r="AW525">
        <v>3</v>
      </c>
      <c r="AX525" t="s">
        <v>74</v>
      </c>
      <c r="AY525" t="s">
        <v>74</v>
      </c>
      <c r="AZ525" t="s">
        <v>74</v>
      </c>
      <c r="BA525" t="s">
        <v>74</v>
      </c>
      <c r="BB525">
        <v>433</v>
      </c>
      <c r="BC525">
        <v>440</v>
      </c>
      <c r="BD525" t="s">
        <v>74</v>
      </c>
      <c r="BE525" t="s">
        <v>7304</v>
      </c>
      <c r="BF525" t="str">
        <f>HYPERLINK("http://dx.doi.org/10.1017/S0025315401004064","http://dx.doi.org/10.1017/S0025315401004064")</f>
        <v>http://dx.doi.org/10.1017/S0025315401004064</v>
      </c>
      <c r="BG525" t="s">
        <v>74</v>
      </c>
      <c r="BH525" t="s">
        <v>74</v>
      </c>
      <c r="BI525">
        <v>8</v>
      </c>
      <c r="BJ525" t="s">
        <v>323</v>
      </c>
      <c r="BK525" t="s">
        <v>88</v>
      </c>
      <c r="BL525" t="s">
        <v>323</v>
      </c>
      <c r="BM525" t="s">
        <v>7305</v>
      </c>
      <c r="BN525" t="s">
        <v>74</v>
      </c>
      <c r="BO525" t="s">
        <v>74</v>
      </c>
      <c r="BP525" t="s">
        <v>74</v>
      </c>
      <c r="BQ525" t="s">
        <v>74</v>
      </c>
      <c r="BR525" t="s">
        <v>91</v>
      </c>
      <c r="BS525" t="s">
        <v>7306</v>
      </c>
      <c r="BT525" t="str">
        <f>HYPERLINK("https%3A%2F%2Fwww.webofscience.com%2Fwos%2Fwoscc%2Ffull-record%2FWOS:000170746300010","View Full Record in Web of Science")</f>
        <v>View Full Record in Web of Science</v>
      </c>
    </row>
    <row r="526" spans="1:72" x14ac:dyDescent="0.15">
      <c r="A526" t="s">
        <v>72</v>
      </c>
      <c r="B526" t="s">
        <v>7307</v>
      </c>
      <c r="C526" t="s">
        <v>74</v>
      </c>
      <c r="D526" t="s">
        <v>74</v>
      </c>
      <c r="E526" t="s">
        <v>74</v>
      </c>
      <c r="F526" t="s">
        <v>7307</v>
      </c>
      <c r="G526" t="s">
        <v>74</v>
      </c>
      <c r="H526" t="s">
        <v>74</v>
      </c>
      <c r="I526" t="s">
        <v>7308</v>
      </c>
      <c r="J526" t="s">
        <v>7309</v>
      </c>
      <c r="K526" t="s">
        <v>74</v>
      </c>
      <c r="L526" t="s">
        <v>74</v>
      </c>
      <c r="M526" t="s">
        <v>77</v>
      </c>
      <c r="N526" t="s">
        <v>120</v>
      </c>
      <c r="O526" t="s">
        <v>74</v>
      </c>
      <c r="P526" t="s">
        <v>74</v>
      </c>
      <c r="Q526" t="s">
        <v>74</v>
      </c>
      <c r="R526" t="s">
        <v>74</v>
      </c>
      <c r="S526" t="s">
        <v>74</v>
      </c>
      <c r="T526" t="s">
        <v>7310</v>
      </c>
      <c r="U526" t="s">
        <v>4922</v>
      </c>
      <c r="V526" t="s">
        <v>7311</v>
      </c>
      <c r="W526" t="s">
        <v>7312</v>
      </c>
      <c r="X526" t="s">
        <v>7313</v>
      </c>
      <c r="Y526" t="s">
        <v>7314</v>
      </c>
      <c r="Z526" t="s">
        <v>74</v>
      </c>
      <c r="AA526" t="s">
        <v>74</v>
      </c>
      <c r="AB526" t="s">
        <v>74</v>
      </c>
      <c r="AC526" t="s">
        <v>74</v>
      </c>
      <c r="AD526" t="s">
        <v>74</v>
      </c>
      <c r="AE526" t="s">
        <v>74</v>
      </c>
      <c r="AF526" t="s">
        <v>74</v>
      </c>
      <c r="AG526">
        <v>43</v>
      </c>
      <c r="AH526">
        <v>4</v>
      </c>
      <c r="AI526">
        <v>5</v>
      </c>
      <c r="AJ526">
        <v>0</v>
      </c>
      <c r="AK526">
        <v>10</v>
      </c>
      <c r="AL526" t="s">
        <v>4072</v>
      </c>
      <c r="AM526" t="s">
        <v>4073</v>
      </c>
      <c r="AN526" t="s">
        <v>4074</v>
      </c>
      <c r="AO526" t="s">
        <v>7315</v>
      </c>
      <c r="AP526" t="s">
        <v>74</v>
      </c>
      <c r="AQ526" t="s">
        <v>74</v>
      </c>
      <c r="AR526" t="s">
        <v>7316</v>
      </c>
      <c r="AS526" t="s">
        <v>7317</v>
      </c>
      <c r="AT526" t="s">
        <v>6688</v>
      </c>
      <c r="AU526">
        <v>2001</v>
      </c>
      <c r="AV526">
        <v>31</v>
      </c>
      <c r="AW526">
        <v>2</v>
      </c>
      <c r="AX526" t="s">
        <v>74</v>
      </c>
      <c r="AY526" t="s">
        <v>74</v>
      </c>
      <c r="AZ526" t="s">
        <v>74</v>
      </c>
      <c r="BA526" t="s">
        <v>74</v>
      </c>
      <c r="BB526">
        <v>393</v>
      </c>
      <c r="BC526">
        <v>409</v>
      </c>
      <c r="BD526" t="s">
        <v>74</v>
      </c>
      <c r="BE526" t="s">
        <v>7318</v>
      </c>
      <c r="BF526" t="str">
        <f>HYPERLINK("http://dx.doi.org/10.1080/03014223.2001.9517661","http://dx.doi.org/10.1080/03014223.2001.9517661")</f>
        <v>http://dx.doi.org/10.1080/03014223.2001.9517661</v>
      </c>
      <c r="BG526" t="s">
        <v>74</v>
      </c>
      <c r="BH526" t="s">
        <v>74</v>
      </c>
      <c r="BI526">
        <v>17</v>
      </c>
      <c r="BJ526" t="s">
        <v>575</v>
      </c>
      <c r="BK526" t="s">
        <v>88</v>
      </c>
      <c r="BL526" t="s">
        <v>576</v>
      </c>
      <c r="BM526" t="s">
        <v>7319</v>
      </c>
      <c r="BN526" t="s">
        <v>74</v>
      </c>
      <c r="BO526" t="s">
        <v>74</v>
      </c>
      <c r="BP526" t="s">
        <v>74</v>
      </c>
      <c r="BQ526" t="s">
        <v>74</v>
      </c>
      <c r="BR526" t="s">
        <v>91</v>
      </c>
      <c r="BS526" t="s">
        <v>7320</v>
      </c>
      <c r="BT526" t="str">
        <f>HYPERLINK("https%3A%2F%2Fwww.webofscience.com%2Fwos%2Fwoscc%2Ffull-record%2FWOS:000170502600007","View Full Record in Web of Science")</f>
        <v>View Full Record in Web of Science</v>
      </c>
    </row>
    <row r="527" spans="1:72" x14ac:dyDescent="0.15">
      <c r="A527" t="s">
        <v>72</v>
      </c>
      <c r="B527" t="s">
        <v>7321</v>
      </c>
      <c r="C527" t="s">
        <v>74</v>
      </c>
      <c r="D527" t="s">
        <v>74</v>
      </c>
      <c r="E527" t="s">
        <v>74</v>
      </c>
      <c r="F527" t="s">
        <v>7321</v>
      </c>
      <c r="G527" t="s">
        <v>74</v>
      </c>
      <c r="H527" t="s">
        <v>74</v>
      </c>
      <c r="I527" t="s">
        <v>7322</v>
      </c>
      <c r="J527" t="s">
        <v>2605</v>
      </c>
      <c r="K527" t="s">
        <v>74</v>
      </c>
      <c r="L527" t="s">
        <v>74</v>
      </c>
      <c r="M527" t="s">
        <v>77</v>
      </c>
      <c r="N527" t="s">
        <v>120</v>
      </c>
      <c r="O527" t="s">
        <v>74</v>
      </c>
      <c r="P527" t="s">
        <v>74</v>
      </c>
      <c r="Q527" t="s">
        <v>74</v>
      </c>
      <c r="R527" t="s">
        <v>74</v>
      </c>
      <c r="S527" t="s">
        <v>74</v>
      </c>
      <c r="T527" t="s">
        <v>7323</v>
      </c>
      <c r="U527" t="s">
        <v>7324</v>
      </c>
      <c r="V527" t="s">
        <v>7325</v>
      </c>
      <c r="W527" t="s">
        <v>7326</v>
      </c>
      <c r="X527" t="s">
        <v>7327</v>
      </c>
      <c r="Y527" t="s">
        <v>7328</v>
      </c>
      <c r="Z527" t="s">
        <v>74</v>
      </c>
      <c r="AA527" t="s">
        <v>5822</v>
      </c>
      <c r="AB527" t="s">
        <v>5823</v>
      </c>
      <c r="AC527" t="s">
        <v>74</v>
      </c>
      <c r="AD527" t="s">
        <v>74</v>
      </c>
      <c r="AE527" t="s">
        <v>74</v>
      </c>
      <c r="AF527" t="s">
        <v>74</v>
      </c>
      <c r="AG527">
        <v>25</v>
      </c>
      <c r="AH527">
        <v>45</v>
      </c>
      <c r="AI527">
        <v>53</v>
      </c>
      <c r="AJ527">
        <v>0</v>
      </c>
      <c r="AK527">
        <v>13</v>
      </c>
      <c r="AL527" t="s">
        <v>1293</v>
      </c>
      <c r="AM527" t="s">
        <v>3243</v>
      </c>
      <c r="AN527" t="s">
        <v>3244</v>
      </c>
      <c r="AO527" t="s">
        <v>2614</v>
      </c>
      <c r="AP527" t="s">
        <v>74</v>
      </c>
      <c r="AQ527" t="s">
        <v>74</v>
      </c>
      <c r="AR527" t="s">
        <v>2616</v>
      </c>
      <c r="AS527" t="s">
        <v>2617</v>
      </c>
      <c r="AT527" t="s">
        <v>6688</v>
      </c>
      <c r="AU527">
        <v>2001</v>
      </c>
      <c r="AV527">
        <v>254</v>
      </c>
      <c r="AW527" t="s">
        <v>74</v>
      </c>
      <c r="AX527">
        <v>2</v>
      </c>
      <c r="AY527" t="s">
        <v>74</v>
      </c>
      <c r="AZ527" t="s">
        <v>74</v>
      </c>
      <c r="BA527" t="s">
        <v>74</v>
      </c>
      <c r="BB527">
        <v>267</v>
      </c>
      <c r="BC527">
        <v>277</v>
      </c>
      <c r="BD527" t="s">
        <v>74</v>
      </c>
      <c r="BE527" t="s">
        <v>7329</v>
      </c>
      <c r="BF527" t="str">
        <f>HYPERLINK("http://dx.doi.org/10.1017/S0952836901000784","http://dx.doi.org/10.1017/S0952836901000784")</f>
        <v>http://dx.doi.org/10.1017/S0952836901000784</v>
      </c>
      <c r="BG527" t="s">
        <v>74</v>
      </c>
      <c r="BH527" t="s">
        <v>74</v>
      </c>
      <c r="BI527">
        <v>11</v>
      </c>
      <c r="BJ527" t="s">
        <v>408</v>
      </c>
      <c r="BK527" t="s">
        <v>88</v>
      </c>
      <c r="BL527" t="s">
        <v>408</v>
      </c>
      <c r="BM527" t="s">
        <v>7330</v>
      </c>
      <c r="BN527" t="s">
        <v>74</v>
      </c>
      <c r="BO527" t="s">
        <v>74</v>
      </c>
      <c r="BP527" t="s">
        <v>74</v>
      </c>
      <c r="BQ527" t="s">
        <v>74</v>
      </c>
      <c r="BR527" t="s">
        <v>91</v>
      </c>
      <c r="BS527" t="s">
        <v>7331</v>
      </c>
      <c r="BT527" t="str">
        <f>HYPERLINK("https%3A%2F%2Fwww.webofscience.com%2Fwos%2Fwoscc%2Ffull-record%2FWOS:000169517300015","View Full Record in Web of Science")</f>
        <v>View Full Record in Web of Science</v>
      </c>
    </row>
    <row r="528" spans="1:72" x14ac:dyDescent="0.15">
      <c r="A528" t="s">
        <v>72</v>
      </c>
      <c r="B528" t="s">
        <v>7332</v>
      </c>
      <c r="C528" t="s">
        <v>74</v>
      </c>
      <c r="D528" t="s">
        <v>74</v>
      </c>
      <c r="E528" t="s">
        <v>74</v>
      </c>
      <c r="F528" t="s">
        <v>7332</v>
      </c>
      <c r="G528" t="s">
        <v>74</v>
      </c>
      <c r="H528" t="s">
        <v>74</v>
      </c>
      <c r="I528" t="s">
        <v>7333</v>
      </c>
      <c r="J528" t="s">
        <v>7334</v>
      </c>
      <c r="K528" t="s">
        <v>74</v>
      </c>
      <c r="L528" t="s">
        <v>74</v>
      </c>
      <c r="M528" t="s">
        <v>77</v>
      </c>
      <c r="N528" t="s">
        <v>120</v>
      </c>
      <c r="O528" t="s">
        <v>74</v>
      </c>
      <c r="P528" t="s">
        <v>74</v>
      </c>
      <c r="Q528" t="s">
        <v>74</v>
      </c>
      <c r="R528" t="s">
        <v>74</v>
      </c>
      <c r="S528" t="s">
        <v>74</v>
      </c>
      <c r="T528" t="s">
        <v>7335</v>
      </c>
      <c r="U528" t="s">
        <v>7336</v>
      </c>
      <c r="V528" t="s">
        <v>7337</v>
      </c>
      <c r="W528" t="s">
        <v>7338</v>
      </c>
      <c r="X528" t="s">
        <v>7339</v>
      </c>
      <c r="Y528" t="s">
        <v>7340</v>
      </c>
      <c r="Z528" t="s">
        <v>74</v>
      </c>
      <c r="AA528" t="s">
        <v>7341</v>
      </c>
      <c r="AB528" t="s">
        <v>7342</v>
      </c>
      <c r="AC528" t="s">
        <v>74</v>
      </c>
      <c r="AD528" t="s">
        <v>74</v>
      </c>
      <c r="AE528" t="s">
        <v>74</v>
      </c>
      <c r="AF528" t="s">
        <v>74</v>
      </c>
      <c r="AG528">
        <v>95</v>
      </c>
      <c r="AH528">
        <v>75</v>
      </c>
      <c r="AI528">
        <v>83</v>
      </c>
      <c r="AJ528">
        <v>0</v>
      </c>
      <c r="AK528">
        <v>18</v>
      </c>
      <c r="AL528" t="s">
        <v>1080</v>
      </c>
      <c r="AM528" t="s">
        <v>80</v>
      </c>
      <c r="AN528" t="s">
        <v>1081</v>
      </c>
      <c r="AO528" t="s">
        <v>7343</v>
      </c>
      <c r="AP528" t="s">
        <v>74</v>
      </c>
      <c r="AQ528" t="s">
        <v>74</v>
      </c>
      <c r="AR528" t="s">
        <v>7344</v>
      </c>
      <c r="AS528" t="s">
        <v>7345</v>
      </c>
      <c r="AT528" t="s">
        <v>6688</v>
      </c>
      <c r="AU528">
        <v>2001</v>
      </c>
      <c r="AV528">
        <v>31</v>
      </c>
      <c r="AW528">
        <v>2</v>
      </c>
      <c r="AX528" t="s">
        <v>74</v>
      </c>
      <c r="AY528" t="s">
        <v>74</v>
      </c>
      <c r="AZ528" t="s">
        <v>74</v>
      </c>
      <c r="BA528" t="s">
        <v>74</v>
      </c>
      <c r="BB528">
        <v>131</v>
      </c>
      <c r="BC528">
        <v>150</v>
      </c>
      <c r="BD528" t="s">
        <v>74</v>
      </c>
      <c r="BE528" t="s">
        <v>7346</v>
      </c>
      <c r="BF528" t="str">
        <f>HYPERLINK("http://dx.doi.org/10.1046/j.1365-2907.2001.00081.x","http://dx.doi.org/10.1046/j.1365-2907.2001.00081.x")</f>
        <v>http://dx.doi.org/10.1046/j.1365-2907.2001.00081.x</v>
      </c>
      <c r="BG528" t="s">
        <v>74</v>
      </c>
      <c r="BH528" t="s">
        <v>74</v>
      </c>
      <c r="BI528">
        <v>20</v>
      </c>
      <c r="BJ528" t="s">
        <v>3767</v>
      </c>
      <c r="BK528" t="s">
        <v>88</v>
      </c>
      <c r="BL528" t="s">
        <v>3768</v>
      </c>
      <c r="BM528" t="s">
        <v>7347</v>
      </c>
      <c r="BN528" t="s">
        <v>74</v>
      </c>
      <c r="BO528" t="s">
        <v>74</v>
      </c>
      <c r="BP528" t="s">
        <v>74</v>
      </c>
      <c r="BQ528" t="s">
        <v>74</v>
      </c>
      <c r="BR528" t="s">
        <v>91</v>
      </c>
      <c r="BS528" t="s">
        <v>7348</v>
      </c>
      <c r="BT528" t="str">
        <f>HYPERLINK("https%3A%2F%2Fwww.webofscience.com%2Fwos%2Fwoscc%2Ffull-record%2FWOS:000169876500002","View Full Record in Web of Science")</f>
        <v>View Full Record in Web of Science</v>
      </c>
    </row>
    <row r="529" spans="1:72" x14ac:dyDescent="0.15">
      <c r="A529" t="s">
        <v>72</v>
      </c>
      <c r="B529" t="s">
        <v>7349</v>
      </c>
      <c r="C529" t="s">
        <v>74</v>
      </c>
      <c r="D529" t="s">
        <v>74</v>
      </c>
      <c r="E529" t="s">
        <v>74</v>
      </c>
      <c r="F529" t="s">
        <v>7349</v>
      </c>
      <c r="G529" t="s">
        <v>74</v>
      </c>
      <c r="H529" t="s">
        <v>74</v>
      </c>
      <c r="I529" t="s">
        <v>7350</v>
      </c>
      <c r="J529" t="s">
        <v>1447</v>
      </c>
      <c r="K529" t="s">
        <v>74</v>
      </c>
      <c r="L529" t="s">
        <v>74</v>
      </c>
      <c r="M529" t="s">
        <v>77</v>
      </c>
      <c r="N529" t="s">
        <v>120</v>
      </c>
      <c r="O529" t="s">
        <v>74</v>
      </c>
      <c r="P529" t="s">
        <v>74</v>
      </c>
      <c r="Q529" t="s">
        <v>74</v>
      </c>
      <c r="R529" t="s">
        <v>74</v>
      </c>
      <c r="S529" t="s">
        <v>74</v>
      </c>
      <c r="T529" t="s">
        <v>7351</v>
      </c>
      <c r="U529" t="s">
        <v>7352</v>
      </c>
      <c r="V529" t="s">
        <v>7353</v>
      </c>
      <c r="W529" t="s">
        <v>7354</v>
      </c>
      <c r="X529" t="s">
        <v>7355</v>
      </c>
      <c r="Y529" t="s">
        <v>7356</v>
      </c>
      <c r="Z529" t="s">
        <v>7357</v>
      </c>
      <c r="AA529" t="s">
        <v>74</v>
      </c>
      <c r="AB529" t="s">
        <v>74</v>
      </c>
      <c r="AC529" t="s">
        <v>74</v>
      </c>
      <c r="AD529" t="s">
        <v>74</v>
      </c>
      <c r="AE529" t="s">
        <v>74</v>
      </c>
      <c r="AF529" t="s">
        <v>74</v>
      </c>
      <c r="AG529">
        <v>76</v>
      </c>
      <c r="AH529">
        <v>42</v>
      </c>
      <c r="AI529">
        <v>49</v>
      </c>
      <c r="AJ529">
        <v>0</v>
      </c>
      <c r="AK529">
        <v>9</v>
      </c>
      <c r="AL529" t="s">
        <v>488</v>
      </c>
      <c r="AM529" t="s">
        <v>350</v>
      </c>
      <c r="AN529" t="s">
        <v>489</v>
      </c>
      <c r="AO529" t="s">
        <v>1456</v>
      </c>
      <c r="AP529" t="s">
        <v>7358</v>
      </c>
      <c r="AQ529" t="s">
        <v>74</v>
      </c>
      <c r="AR529" t="s">
        <v>1457</v>
      </c>
      <c r="AS529" t="s">
        <v>1458</v>
      </c>
      <c r="AT529" t="s">
        <v>6688</v>
      </c>
      <c r="AU529">
        <v>2001</v>
      </c>
      <c r="AV529">
        <v>42</v>
      </c>
      <c r="AW529" t="s">
        <v>451</v>
      </c>
      <c r="AX529" t="s">
        <v>74</v>
      </c>
      <c r="AY529" t="s">
        <v>74</v>
      </c>
      <c r="AZ529" t="s">
        <v>74</v>
      </c>
      <c r="BA529" t="s">
        <v>74</v>
      </c>
      <c r="BB529">
        <v>125</v>
      </c>
      <c r="BC529">
        <v>162</v>
      </c>
      <c r="BD529" t="s">
        <v>74</v>
      </c>
      <c r="BE529" t="s">
        <v>7359</v>
      </c>
      <c r="BF529" t="str">
        <f>HYPERLINK("http://dx.doi.org/10.1016/S0377-8398(01)00004-4","http://dx.doi.org/10.1016/S0377-8398(01)00004-4")</f>
        <v>http://dx.doi.org/10.1016/S0377-8398(01)00004-4</v>
      </c>
      <c r="BG529" t="s">
        <v>74</v>
      </c>
      <c r="BH529" t="s">
        <v>74</v>
      </c>
      <c r="BI529">
        <v>38</v>
      </c>
      <c r="BJ529" t="s">
        <v>1460</v>
      </c>
      <c r="BK529" t="s">
        <v>88</v>
      </c>
      <c r="BL529" t="s">
        <v>1460</v>
      </c>
      <c r="BM529" t="s">
        <v>7360</v>
      </c>
      <c r="BN529" t="s">
        <v>74</v>
      </c>
      <c r="BO529" t="s">
        <v>74</v>
      </c>
      <c r="BP529" t="s">
        <v>74</v>
      </c>
      <c r="BQ529" t="s">
        <v>74</v>
      </c>
      <c r="BR529" t="s">
        <v>91</v>
      </c>
      <c r="BS529" t="s">
        <v>7361</v>
      </c>
      <c r="BT529" t="str">
        <f>HYPERLINK("https%3A%2F%2Fwww.webofscience.com%2Fwos%2Fwoscc%2Ffull-record%2FWOS:000169748500002","View Full Record in Web of Science")</f>
        <v>View Full Record in Web of Science</v>
      </c>
    </row>
    <row r="530" spans="1:72" x14ac:dyDescent="0.15">
      <c r="A530" t="s">
        <v>72</v>
      </c>
      <c r="B530" t="s">
        <v>7362</v>
      </c>
      <c r="C530" t="s">
        <v>74</v>
      </c>
      <c r="D530" t="s">
        <v>74</v>
      </c>
      <c r="E530" t="s">
        <v>74</v>
      </c>
      <c r="F530" t="s">
        <v>7362</v>
      </c>
      <c r="G530" t="s">
        <v>74</v>
      </c>
      <c r="H530" t="s">
        <v>74</v>
      </c>
      <c r="I530" t="s">
        <v>7363</v>
      </c>
      <c r="J530" t="s">
        <v>141</v>
      </c>
      <c r="K530" t="s">
        <v>74</v>
      </c>
      <c r="L530" t="s">
        <v>74</v>
      </c>
      <c r="M530" t="s">
        <v>77</v>
      </c>
      <c r="N530" t="s">
        <v>596</v>
      </c>
      <c r="O530" t="s">
        <v>74</v>
      </c>
      <c r="P530" t="s">
        <v>74</v>
      </c>
      <c r="Q530" t="s">
        <v>74</v>
      </c>
      <c r="R530" t="s">
        <v>74</v>
      </c>
      <c r="S530" t="s">
        <v>74</v>
      </c>
      <c r="T530" t="s">
        <v>74</v>
      </c>
      <c r="U530" t="s">
        <v>7364</v>
      </c>
      <c r="V530" t="s">
        <v>74</v>
      </c>
      <c r="W530" t="s">
        <v>7365</v>
      </c>
      <c r="X530" t="s">
        <v>7366</v>
      </c>
      <c r="Y530" t="s">
        <v>7367</v>
      </c>
      <c r="Z530" t="s">
        <v>7368</v>
      </c>
      <c r="AA530" t="s">
        <v>7369</v>
      </c>
      <c r="AB530" t="s">
        <v>7370</v>
      </c>
      <c r="AC530" t="s">
        <v>74</v>
      </c>
      <c r="AD530" t="s">
        <v>74</v>
      </c>
      <c r="AE530" t="s">
        <v>74</v>
      </c>
      <c r="AF530" t="s">
        <v>74</v>
      </c>
      <c r="AG530">
        <v>92</v>
      </c>
      <c r="AH530">
        <v>11</v>
      </c>
      <c r="AI530">
        <v>11</v>
      </c>
      <c r="AJ530">
        <v>0</v>
      </c>
      <c r="AK530">
        <v>7</v>
      </c>
      <c r="AL530" t="s">
        <v>149</v>
      </c>
      <c r="AM530" t="s">
        <v>150</v>
      </c>
      <c r="AN530" t="s">
        <v>151</v>
      </c>
      <c r="AO530" t="s">
        <v>152</v>
      </c>
      <c r="AP530" t="s">
        <v>153</v>
      </c>
      <c r="AQ530" t="s">
        <v>74</v>
      </c>
      <c r="AR530" t="s">
        <v>141</v>
      </c>
      <c r="AS530" t="s">
        <v>154</v>
      </c>
      <c r="AT530" t="s">
        <v>6688</v>
      </c>
      <c r="AU530">
        <v>2001</v>
      </c>
      <c r="AV530">
        <v>16</v>
      </c>
      <c r="AW530">
        <v>3</v>
      </c>
      <c r="AX530" t="s">
        <v>74</v>
      </c>
      <c r="AY530" t="s">
        <v>74</v>
      </c>
      <c r="AZ530" t="s">
        <v>74</v>
      </c>
      <c r="BA530" t="s">
        <v>74</v>
      </c>
      <c r="BB530">
        <v>330</v>
      </c>
      <c r="BC530">
        <v>334</v>
      </c>
      <c r="BD530" t="s">
        <v>74</v>
      </c>
      <c r="BE530" t="s">
        <v>7371</v>
      </c>
      <c r="BF530" t="str">
        <f>HYPERLINK("http://dx.doi.org/10.1029/2001PA000648","http://dx.doi.org/10.1029/2001PA000648")</f>
        <v>http://dx.doi.org/10.1029/2001PA000648</v>
      </c>
      <c r="BG530" t="s">
        <v>74</v>
      </c>
      <c r="BH530" t="s">
        <v>74</v>
      </c>
      <c r="BI530">
        <v>5</v>
      </c>
      <c r="BJ530" t="s">
        <v>156</v>
      </c>
      <c r="BK530" t="s">
        <v>88</v>
      </c>
      <c r="BL530" t="s">
        <v>157</v>
      </c>
      <c r="BM530" t="s">
        <v>7372</v>
      </c>
      <c r="BN530" t="s">
        <v>74</v>
      </c>
      <c r="BO530" t="s">
        <v>171</v>
      </c>
      <c r="BP530" t="s">
        <v>74</v>
      </c>
      <c r="BQ530" t="s">
        <v>74</v>
      </c>
      <c r="BR530" t="s">
        <v>91</v>
      </c>
      <c r="BS530" t="s">
        <v>7373</v>
      </c>
      <c r="BT530" t="str">
        <f>HYPERLINK("https%3A%2F%2Fwww.webofscience.com%2Fwos%2Fwoscc%2Ffull-record%2FWOS:000169064100009","View Full Record in Web of Science")</f>
        <v>View Full Record in Web of Science</v>
      </c>
    </row>
    <row r="531" spans="1:72" x14ac:dyDescent="0.15">
      <c r="A531" t="s">
        <v>72</v>
      </c>
      <c r="B531" t="s">
        <v>7374</v>
      </c>
      <c r="C531" t="s">
        <v>74</v>
      </c>
      <c r="D531" t="s">
        <v>74</v>
      </c>
      <c r="E531" t="s">
        <v>74</v>
      </c>
      <c r="F531" t="s">
        <v>7374</v>
      </c>
      <c r="G531" t="s">
        <v>74</v>
      </c>
      <c r="H531" t="s">
        <v>74</v>
      </c>
      <c r="I531" t="s">
        <v>7375</v>
      </c>
      <c r="J531" t="s">
        <v>7376</v>
      </c>
      <c r="K531" t="s">
        <v>74</v>
      </c>
      <c r="L531" t="s">
        <v>74</v>
      </c>
      <c r="M531" t="s">
        <v>77</v>
      </c>
      <c r="N531" t="s">
        <v>435</v>
      </c>
      <c r="O531" t="s">
        <v>7377</v>
      </c>
      <c r="P531" t="s">
        <v>7378</v>
      </c>
      <c r="Q531" t="s">
        <v>7379</v>
      </c>
      <c r="R531" t="s">
        <v>74</v>
      </c>
      <c r="S531" t="s">
        <v>7380</v>
      </c>
      <c r="T531" t="s">
        <v>7381</v>
      </c>
      <c r="U531" t="s">
        <v>7382</v>
      </c>
      <c r="V531" t="s">
        <v>7383</v>
      </c>
      <c r="W531" t="s">
        <v>7384</v>
      </c>
      <c r="X531" t="s">
        <v>7385</v>
      </c>
      <c r="Y531" t="s">
        <v>7386</v>
      </c>
      <c r="Z531" t="s">
        <v>74</v>
      </c>
      <c r="AA531" t="s">
        <v>7387</v>
      </c>
      <c r="AB531" t="s">
        <v>7388</v>
      </c>
      <c r="AC531" t="s">
        <v>74</v>
      </c>
      <c r="AD531" t="s">
        <v>74</v>
      </c>
      <c r="AE531" t="s">
        <v>74</v>
      </c>
      <c r="AF531" t="s">
        <v>74</v>
      </c>
      <c r="AG531">
        <v>8</v>
      </c>
      <c r="AH531">
        <v>62</v>
      </c>
      <c r="AI531">
        <v>73</v>
      </c>
      <c r="AJ531">
        <v>0</v>
      </c>
      <c r="AK531">
        <v>13</v>
      </c>
      <c r="AL531" t="s">
        <v>488</v>
      </c>
      <c r="AM531" t="s">
        <v>350</v>
      </c>
      <c r="AN531" t="s">
        <v>489</v>
      </c>
      <c r="AO531" t="s">
        <v>7389</v>
      </c>
      <c r="AP531" t="s">
        <v>74</v>
      </c>
      <c r="AQ531" t="s">
        <v>74</v>
      </c>
      <c r="AR531" t="s">
        <v>7376</v>
      </c>
      <c r="AS531" t="s">
        <v>7390</v>
      </c>
      <c r="AT531" t="s">
        <v>6947</v>
      </c>
      <c r="AU531">
        <v>2001</v>
      </c>
      <c r="AV531">
        <v>295</v>
      </c>
      <c r="AW531" t="s">
        <v>495</v>
      </c>
      <c r="AX531" t="s">
        <v>74</v>
      </c>
      <c r="AY531" t="s">
        <v>74</v>
      </c>
      <c r="AZ531" t="s">
        <v>74</v>
      </c>
      <c r="BA531" t="s">
        <v>74</v>
      </c>
      <c r="BB531">
        <v>85</v>
      </c>
      <c r="BC531">
        <v>88</v>
      </c>
      <c r="BD531" t="s">
        <v>74</v>
      </c>
      <c r="BE531" t="s">
        <v>7391</v>
      </c>
      <c r="BF531" t="str">
        <f>HYPERLINK("http://dx.doi.org/10.1016/S0378-4371(01)00057-7","http://dx.doi.org/10.1016/S0378-4371(01)00057-7")</f>
        <v>http://dx.doi.org/10.1016/S0378-4371(01)00057-7</v>
      </c>
      <c r="BG531" t="s">
        <v>74</v>
      </c>
      <c r="BH531" t="s">
        <v>74</v>
      </c>
      <c r="BI531">
        <v>4</v>
      </c>
      <c r="BJ531" t="s">
        <v>7007</v>
      </c>
      <c r="BK531" t="s">
        <v>453</v>
      </c>
      <c r="BL531" t="s">
        <v>2453</v>
      </c>
      <c r="BM531" t="s">
        <v>7392</v>
      </c>
      <c r="BN531" t="s">
        <v>74</v>
      </c>
      <c r="BO531" t="s">
        <v>74</v>
      </c>
      <c r="BP531" t="s">
        <v>74</v>
      </c>
      <c r="BQ531" t="s">
        <v>74</v>
      </c>
      <c r="BR531" t="s">
        <v>91</v>
      </c>
      <c r="BS531" t="s">
        <v>7393</v>
      </c>
      <c r="BT531" t="str">
        <f>HYPERLINK("https%3A%2F%2Fwww.webofscience.com%2Fwos%2Fwoscc%2Ffull-record%2FWOS:000169372100015","View Full Record in Web of Science")</f>
        <v>View Full Record in Web of Science</v>
      </c>
    </row>
    <row r="532" spans="1:72" x14ac:dyDescent="0.15">
      <c r="A532" t="s">
        <v>72</v>
      </c>
      <c r="B532" t="s">
        <v>7394</v>
      </c>
      <c r="C532" t="s">
        <v>74</v>
      </c>
      <c r="D532" t="s">
        <v>74</v>
      </c>
      <c r="E532" t="s">
        <v>74</v>
      </c>
      <c r="F532" t="s">
        <v>7394</v>
      </c>
      <c r="G532" t="s">
        <v>74</v>
      </c>
      <c r="H532" t="s">
        <v>74</v>
      </c>
      <c r="I532" t="s">
        <v>7395</v>
      </c>
      <c r="J532" t="s">
        <v>7396</v>
      </c>
      <c r="K532" t="s">
        <v>74</v>
      </c>
      <c r="L532" t="s">
        <v>74</v>
      </c>
      <c r="M532" t="s">
        <v>77</v>
      </c>
      <c r="N532" t="s">
        <v>96</v>
      </c>
      <c r="O532" t="s">
        <v>74</v>
      </c>
      <c r="P532" t="s">
        <v>74</v>
      </c>
      <c r="Q532" t="s">
        <v>74</v>
      </c>
      <c r="R532" t="s">
        <v>74</v>
      </c>
      <c r="S532" t="s">
        <v>74</v>
      </c>
      <c r="T532" t="s">
        <v>7397</v>
      </c>
      <c r="U532" t="s">
        <v>7398</v>
      </c>
      <c r="V532" t="s">
        <v>7399</v>
      </c>
      <c r="W532" t="s">
        <v>7400</v>
      </c>
      <c r="X532" t="s">
        <v>7401</v>
      </c>
      <c r="Y532" t="s">
        <v>7402</v>
      </c>
      <c r="Z532" t="s">
        <v>7403</v>
      </c>
      <c r="AA532" t="s">
        <v>7404</v>
      </c>
      <c r="AB532" t="s">
        <v>7405</v>
      </c>
      <c r="AC532" t="s">
        <v>74</v>
      </c>
      <c r="AD532" t="s">
        <v>74</v>
      </c>
      <c r="AE532" t="s">
        <v>74</v>
      </c>
      <c r="AF532" t="s">
        <v>74</v>
      </c>
      <c r="AG532">
        <v>111</v>
      </c>
      <c r="AH532">
        <v>34</v>
      </c>
      <c r="AI532">
        <v>38</v>
      </c>
      <c r="AJ532">
        <v>0</v>
      </c>
      <c r="AK532">
        <v>28</v>
      </c>
      <c r="AL532" t="s">
        <v>248</v>
      </c>
      <c r="AM532" t="s">
        <v>2224</v>
      </c>
      <c r="AN532" t="s">
        <v>5560</v>
      </c>
      <c r="AO532" t="s">
        <v>7406</v>
      </c>
      <c r="AP532" t="s">
        <v>7407</v>
      </c>
      <c r="AQ532" t="s">
        <v>74</v>
      </c>
      <c r="AR532" t="s">
        <v>7408</v>
      </c>
      <c r="AS532" t="s">
        <v>7409</v>
      </c>
      <c r="AT532" t="s">
        <v>6688</v>
      </c>
      <c r="AU532">
        <v>2001</v>
      </c>
      <c r="AV532">
        <v>154</v>
      </c>
      <c r="AW532" t="s">
        <v>495</v>
      </c>
      <c r="AX532" t="s">
        <v>74</v>
      </c>
      <c r="AY532" t="s">
        <v>74</v>
      </c>
      <c r="AZ532" t="s">
        <v>74</v>
      </c>
      <c r="BA532" t="s">
        <v>74</v>
      </c>
      <c r="BB532">
        <v>9</v>
      </c>
      <c r="BC532" t="s">
        <v>607</v>
      </c>
      <c r="BD532" t="s">
        <v>74</v>
      </c>
      <c r="BE532" t="s">
        <v>7410</v>
      </c>
      <c r="BF532" t="str">
        <f>HYPERLINK("http://dx.doi.org/10.1023/A:1012913608353","http://dx.doi.org/10.1023/A:1012913608353")</f>
        <v>http://dx.doi.org/10.1023/A:1012913608353</v>
      </c>
      <c r="BG532" t="s">
        <v>74</v>
      </c>
      <c r="BH532" t="s">
        <v>74</v>
      </c>
      <c r="BI532">
        <v>17</v>
      </c>
      <c r="BJ532" t="s">
        <v>7411</v>
      </c>
      <c r="BK532" t="s">
        <v>88</v>
      </c>
      <c r="BL532" t="s">
        <v>7412</v>
      </c>
      <c r="BM532" t="s">
        <v>7413</v>
      </c>
      <c r="BN532" t="s">
        <v>74</v>
      </c>
      <c r="BO532" t="s">
        <v>74</v>
      </c>
      <c r="BP532" t="s">
        <v>74</v>
      </c>
      <c r="BQ532" t="s">
        <v>74</v>
      </c>
      <c r="BR532" t="s">
        <v>91</v>
      </c>
      <c r="BS532" t="s">
        <v>7414</v>
      </c>
      <c r="BT532" t="str">
        <f>HYPERLINK("https%3A%2F%2Fwww.webofscience.com%2Fwos%2Fwoscc%2Ffull-record%2FWOS:000172384600002","View Full Record in Web of Science")</f>
        <v>View Full Record in Web of Science</v>
      </c>
    </row>
    <row r="533" spans="1:72" x14ac:dyDescent="0.15">
      <c r="A533" t="s">
        <v>72</v>
      </c>
      <c r="B533" t="s">
        <v>7415</v>
      </c>
      <c r="C533" t="s">
        <v>74</v>
      </c>
      <c r="D533" t="s">
        <v>74</v>
      </c>
      <c r="E533" t="s">
        <v>74</v>
      </c>
      <c r="F533" t="s">
        <v>7415</v>
      </c>
      <c r="G533" t="s">
        <v>74</v>
      </c>
      <c r="H533" t="s">
        <v>74</v>
      </c>
      <c r="I533" t="s">
        <v>7416</v>
      </c>
      <c r="J533" t="s">
        <v>7396</v>
      </c>
      <c r="K533" t="s">
        <v>74</v>
      </c>
      <c r="L533" t="s">
        <v>74</v>
      </c>
      <c r="M533" t="s">
        <v>77</v>
      </c>
      <c r="N533" t="s">
        <v>120</v>
      </c>
      <c r="O533" t="s">
        <v>74</v>
      </c>
      <c r="P533" t="s">
        <v>74</v>
      </c>
      <c r="Q533" t="s">
        <v>74</v>
      </c>
      <c r="R533" t="s">
        <v>74</v>
      </c>
      <c r="S533" t="s">
        <v>74</v>
      </c>
      <c r="T533" t="s">
        <v>7417</v>
      </c>
      <c r="U533" t="s">
        <v>7418</v>
      </c>
      <c r="V533" t="s">
        <v>7419</v>
      </c>
      <c r="W533" t="s">
        <v>7420</v>
      </c>
      <c r="X533" t="s">
        <v>7421</v>
      </c>
      <c r="Y533" t="s">
        <v>7422</v>
      </c>
      <c r="Z533" t="s">
        <v>74</v>
      </c>
      <c r="AA533" t="s">
        <v>7423</v>
      </c>
      <c r="AB533" t="s">
        <v>74</v>
      </c>
      <c r="AC533" t="s">
        <v>74</v>
      </c>
      <c r="AD533" t="s">
        <v>74</v>
      </c>
      <c r="AE533" t="s">
        <v>74</v>
      </c>
      <c r="AF533" t="s">
        <v>74</v>
      </c>
      <c r="AG533">
        <v>33</v>
      </c>
      <c r="AH533">
        <v>29</v>
      </c>
      <c r="AI533">
        <v>32</v>
      </c>
      <c r="AJ533">
        <v>0</v>
      </c>
      <c r="AK533">
        <v>5</v>
      </c>
      <c r="AL533" t="s">
        <v>2223</v>
      </c>
      <c r="AM533" t="s">
        <v>2224</v>
      </c>
      <c r="AN533" t="s">
        <v>2225</v>
      </c>
      <c r="AO533" t="s">
        <v>7406</v>
      </c>
      <c r="AP533" t="s">
        <v>74</v>
      </c>
      <c r="AQ533" t="s">
        <v>74</v>
      </c>
      <c r="AR533" t="s">
        <v>7408</v>
      </c>
      <c r="AS533" t="s">
        <v>7409</v>
      </c>
      <c r="AT533" t="s">
        <v>6688</v>
      </c>
      <c r="AU533">
        <v>2001</v>
      </c>
      <c r="AV533">
        <v>154</v>
      </c>
      <c r="AW533" t="s">
        <v>495</v>
      </c>
      <c r="AX533" t="s">
        <v>74</v>
      </c>
      <c r="AY533" t="s">
        <v>74</v>
      </c>
      <c r="AZ533" t="s">
        <v>74</v>
      </c>
      <c r="BA533" t="s">
        <v>74</v>
      </c>
      <c r="BB533">
        <v>75</v>
      </c>
      <c r="BC533" t="s">
        <v>607</v>
      </c>
      <c r="BD533" t="s">
        <v>74</v>
      </c>
      <c r="BE533" t="s">
        <v>7424</v>
      </c>
      <c r="BF533" t="str">
        <f>HYPERLINK("http://dx.doi.org/10.1023/A:1012923307870","http://dx.doi.org/10.1023/A:1012923307870")</f>
        <v>http://dx.doi.org/10.1023/A:1012923307870</v>
      </c>
      <c r="BG533" t="s">
        <v>74</v>
      </c>
      <c r="BH533" t="s">
        <v>74</v>
      </c>
      <c r="BI533">
        <v>11</v>
      </c>
      <c r="BJ533" t="s">
        <v>7411</v>
      </c>
      <c r="BK533" t="s">
        <v>88</v>
      </c>
      <c r="BL533" t="s">
        <v>7412</v>
      </c>
      <c r="BM533" t="s">
        <v>7413</v>
      </c>
      <c r="BN533" t="s">
        <v>74</v>
      </c>
      <c r="BO533" t="s">
        <v>74</v>
      </c>
      <c r="BP533" t="s">
        <v>74</v>
      </c>
      <c r="BQ533" t="s">
        <v>74</v>
      </c>
      <c r="BR533" t="s">
        <v>91</v>
      </c>
      <c r="BS533" t="s">
        <v>7425</v>
      </c>
      <c r="BT533" t="str">
        <f>HYPERLINK("https%3A%2F%2Fwww.webofscience.com%2Fwos%2Fwoscc%2Ffull-record%2FWOS:000172384600008","View Full Record in Web of Science")</f>
        <v>View Full Record in Web of Science</v>
      </c>
    </row>
    <row r="534" spans="1:72" x14ac:dyDescent="0.15">
      <c r="A534" t="s">
        <v>72</v>
      </c>
      <c r="B534" t="s">
        <v>7426</v>
      </c>
      <c r="C534" t="s">
        <v>74</v>
      </c>
      <c r="D534" t="s">
        <v>74</v>
      </c>
      <c r="E534" t="s">
        <v>74</v>
      </c>
      <c r="F534" t="s">
        <v>7426</v>
      </c>
      <c r="G534" t="s">
        <v>74</v>
      </c>
      <c r="H534" t="s">
        <v>74</v>
      </c>
      <c r="I534" t="s">
        <v>7427</v>
      </c>
      <c r="J534" t="s">
        <v>7396</v>
      </c>
      <c r="K534" t="s">
        <v>74</v>
      </c>
      <c r="L534" t="s">
        <v>74</v>
      </c>
      <c r="M534" t="s">
        <v>77</v>
      </c>
      <c r="N534" t="s">
        <v>120</v>
      </c>
      <c r="O534" t="s">
        <v>74</v>
      </c>
      <c r="P534" t="s">
        <v>74</v>
      </c>
      <c r="Q534" t="s">
        <v>74</v>
      </c>
      <c r="R534" t="s">
        <v>74</v>
      </c>
      <c r="S534" t="s">
        <v>74</v>
      </c>
      <c r="T534" t="s">
        <v>7428</v>
      </c>
      <c r="U534" t="s">
        <v>7429</v>
      </c>
      <c r="V534" t="s">
        <v>7430</v>
      </c>
      <c r="W534" t="s">
        <v>7431</v>
      </c>
      <c r="X534" t="s">
        <v>7432</v>
      </c>
      <c r="Y534" t="s">
        <v>7433</v>
      </c>
      <c r="Z534" t="s">
        <v>74</v>
      </c>
      <c r="AA534" t="s">
        <v>7423</v>
      </c>
      <c r="AB534" t="s">
        <v>7434</v>
      </c>
      <c r="AC534" t="s">
        <v>74</v>
      </c>
      <c r="AD534" t="s">
        <v>74</v>
      </c>
      <c r="AE534" t="s">
        <v>74</v>
      </c>
      <c r="AF534" t="s">
        <v>74</v>
      </c>
      <c r="AG534">
        <v>44</v>
      </c>
      <c r="AH534">
        <v>45</v>
      </c>
      <c r="AI534">
        <v>47</v>
      </c>
      <c r="AJ534">
        <v>0</v>
      </c>
      <c r="AK534">
        <v>8</v>
      </c>
      <c r="AL534" t="s">
        <v>248</v>
      </c>
      <c r="AM534" t="s">
        <v>2224</v>
      </c>
      <c r="AN534" t="s">
        <v>5560</v>
      </c>
      <c r="AO534" t="s">
        <v>7406</v>
      </c>
      <c r="AP534" t="s">
        <v>74</v>
      </c>
      <c r="AQ534" t="s">
        <v>74</v>
      </c>
      <c r="AR534" t="s">
        <v>7408</v>
      </c>
      <c r="AS534" t="s">
        <v>7409</v>
      </c>
      <c r="AT534" t="s">
        <v>6688</v>
      </c>
      <c r="AU534">
        <v>2001</v>
      </c>
      <c r="AV534">
        <v>154</v>
      </c>
      <c r="AW534" t="s">
        <v>495</v>
      </c>
      <c r="AX534" t="s">
        <v>74</v>
      </c>
      <c r="AY534" t="s">
        <v>74</v>
      </c>
      <c r="AZ534" t="s">
        <v>74</v>
      </c>
      <c r="BA534" t="s">
        <v>74</v>
      </c>
      <c r="BB534">
        <v>87</v>
      </c>
      <c r="BC534" t="s">
        <v>607</v>
      </c>
      <c r="BD534" t="s">
        <v>74</v>
      </c>
      <c r="BE534" t="s">
        <v>7435</v>
      </c>
      <c r="BF534" t="str">
        <f>HYPERLINK("http://dx.doi.org/10.1023/A:1012987728343","http://dx.doi.org/10.1023/A:1012987728343")</f>
        <v>http://dx.doi.org/10.1023/A:1012987728343</v>
      </c>
      <c r="BG534" t="s">
        <v>74</v>
      </c>
      <c r="BH534" t="s">
        <v>74</v>
      </c>
      <c r="BI534">
        <v>12</v>
      </c>
      <c r="BJ534" t="s">
        <v>7411</v>
      </c>
      <c r="BK534" t="s">
        <v>88</v>
      </c>
      <c r="BL534" t="s">
        <v>7412</v>
      </c>
      <c r="BM534" t="s">
        <v>7413</v>
      </c>
      <c r="BN534" t="s">
        <v>74</v>
      </c>
      <c r="BO534" t="s">
        <v>74</v>
      </c>
      <c r="BP534" t="s">
        <v>74</v>
      </c>
      <c r="BQ534" t="s">
        <v>74</v>
      </c>
      <c r="BR534" t="s">
        <v>91</v>
      </c>
      <c r="BS534" t="s">
        <v>7436</v>
      </c>
      <c r="BT534" t="str">
        <f>HYPERLINK("https%3A%2F%2Fwww.webofscience.com%2Fwos%2Fwoscc%2Ffull-record%2FWOS:000172384600009","View Full Record in Web of Science")</f>
        <v>View Full Record in Web of Science</v>
      </c>
    </row>
    <row r="535" spans="1:72" x14ac:dyDescent="0.15">
      <c r="A535" t="s">
        <v>72</v>
      </c>
      <c r="B535" t="s">
        <v>7437</v>
      </c>
      <c r="C535" t="s">
        <v>74</v>
      </c>
      <c r="D535" t="s">
        <v>74</v>
      </c>
      <c r="E535" t="s">
        <v>74</v>
      </c>
      <c r="F535" t="s">
        <v>7437</v>
      </c>
      <c r="G535" t="s">
        <v>74</v>
      </c>
      <c r="H535" t="s">
        <v>74</v>
      </c>
      <c r="I535" t="s">
        <v>7438</v>
      </c>
      <c r="J535" t="s">
        <v>7396</v>
      </c>
      <c r="K535" t="s">
        <v>74</v>
      </c>
      <c r="L535" t="s">
        <v>74</v>
      </c>
      <c r="M535" t="s">
        <v>77</v>
      </c>
      <c r="N535" t="s">
        <v>120</v>
      </c>
      <c r="O535" t="s">
        <v>74</v>
      </c>
      <c r="P535" t="s">
        <v>74</v>
      </c>
      <c r="Q535" t="s">
        <v>74</v>
      </c>
      <c r="R535" t="s">
        <v>74</v>
      </c>
      <c r="S535" t="s">
        <v>74</v>
      </c>
      <c r="T535" t="s">
        <v>7439</v>
      </c>
      <c r="U535" t="s">
        <v>7440</v>
      </c>
      <c r="V535" t="s">
        <v>7441</v>
      </c>
      <c r="W535" t="s">
        <v>7442</v>
      </c>
      <c r="X535" t="s">
        <v>7443</v>
      </c>
      <c r="Y535" t="s">
        <v>7444</v>
      </c>
      <c r="Z535" t="s">
        <v>74</v>
      </c>
      <c r="AA535" t="s">
        <v>7423</v>
      </c>
      <c r="AB535" t="s">
        <v>7445</v>
      </c>
      <c r="AC535" t="s">
        <v>74</v>
      </c>
      <c r="AD535" t="s">
        <v>74</v>
      </c>
      <c r="AE535" t="s">
        <v>74</v>
      </c>
      <c r="AF535" t="s">
        <v>74</v>
      </c>
      <c r="AG535">
        <v>87</v>
      </c>
      <c r="AH535">
        <v>14</v>
      </c>
      <c r="AI535">
        <v>15</v>
      </c>
      <c r="AJ535">
        <v>1</v>
      </c>
      <c r="AK535">
        <v>13</v>
      </c>
      <c r="AL535" t="s">
        <v>248</v>
      </c>
      <c r="AM535" t="s">
        <v>2224</v>
      </c>
      <c r="AN535" t="s">
        <v>5560</v>
      </c>
      <c r="AO535" t="s">
        <v>7406</v>
      </c>
      <c r="AP535" t="s">
        <v>7407</v>
      </c>
      <c r="AQ535" t="s">
        <v>74</v>
      </c>
      <c r="AR535" t="s">
        <v>7408</v>
      </c>
      <c r="AS535" t="s">
        <v>7409</v>
      </c>
      <c r="AT535" t="s">
        <v>6688</v>
      </c>
      <c r="AU535">
        <v>2001</v>
      </c>
      <c r="AV535">
        <v>154</v>
      </c>
      <c r="AW535" t="s">
        <v>495</v>
      </c>
      <c r="AX535" t="s">
        <v>74</v>
      </c>
      <c r="AY535" t="s">
        <v>74</v>
      </c>
      <c r="AZ535" t="s">
        <v>74</v>
      </c>
      <c r="BA535" t="s">
        <v>74</v>
      </c>
      <c r="BB535">
        <v>101</v>
      </c>
      <c r="BC535" t="s">
        <v>607</v>
      </c>
      <c r="BD535" t="s">
        <v>74</v>
      </c>
      <c r="BE535" t="s">
        <v>7446</v>
      </c>
      <c r="BF535" t="str">
        <f>HYPERLINK("http://dx.doi.org/10.1023/A:1012956230160","http://dx.doi.org/10.1023/A:1012956230160")</f>
        <v>http://dx.doi.org/10.1023/A:1012956230160</v>
      </c>
      <c r="BG535" t="s">
        <v>74</v>
      </c>
      <c r="BH535" t="s">
        <v>74</v>
      </c>
      <c r="BI535">
        <v>14</v>
      </c>
      <c r="BJ535" t="s">
        <v>7411</v>
      </c>
      <c r="BK535" t="s">
        <v>88</v>
      </c>
      <c r="BL535" t="s">
        <v>7412</v>
      </c>
      <c r="BM535" t="s">
        <v>7413</v>
      </c>
      <c r="BN535" t="s">
        <v>74</v>
      </c>
      <c r="BO535" t="s">
        <v>74</v>
      </c>
      <c r="BP535" t="s">
        <v>74</v>
      </c>
      <c r="BQ535" t="s">
        <v>74</v>
      </c>
      <c r="BR535" t="s">
        <v>91</v>
      </c>
      <c r="BS535" t="s">
        <v>7447</v>
      </c>
      <c r="BT535" t="str">
        <f>HYPERLINK("https%3A%2F%2Fwww.webofscience.com%2Fwos%2Fwoscc%2Ffull-record%2FWOS:000172384600010","View Full Record in Web of Science")</f>
        <v>View Full Record in Web of Science</v>
      </c>
    </row>
    <row r="536" spans="1:72" x14ac:dyDescent="0.15">
      <c r="A536" t="s">
        <v>72</v>
      </c>
      <c r="B536" t="s">
        <v>7448</v>
      </c>
      <c r="C536" t="s">
        <v>74</v>
      </c>
      <c r="D536" t="s">
        <v>74</v>
      </c>
      <c r="E536" t="s">
        <v>74</v>
      </c>
      <c r="F536" t="s">
        <v>7448</v>
      </c>
      <c r="G536" t="s">
        <v>74</v>
      </c>
      <c r="H536" t="s">
        <v>74</v>
      </c>
      <c r="I536" t="s">
        <v>7449</v>
      </c>
      <c r="J536" t="s">
        <v>194</v>
      </c>
      <c r="K536" t="s">
        <v>74</v>
      </c>
      <c r="L536" t="s">
        <v>74</v>
      </c>
      <c r="M536" t="s">
        <v>77</v>
      </c>
      <c r="N536" t="s">
        <v>120</v>
      </c>
      <c r="O536" t="s">
        <v>74</v>
      </c>
      <c r="P536" t="s">
        <v>74</v>
      </c>
      <c r="Q536" t="s">
        <v>74</v>
      </c>
      <c r="R536" t="s">
        <v>74</v>
      </c>
      <c r="S536" t="s">
        <v>74</v>
      </c>
      <c r="T536" t="s">
        <v>74</v>
      </c>
      <c r="U536" t="s">
        <v>7450</v>
      </c>
      <c r="V536" t="s">
        <v>7451</v>
      </c>
      <c r="W536" t="s">
        <v>7452</v>
      </c>
      <c r="X536" t="s">
        <v>7453</v>
      </c>
      <c r="Y536" t="s">
        <v>7454</v>
      </c>
      <c r="Z536" t="s">
        <v>74</v>
      </c>
      <c r="AA536" t="s">
        <v>74</v>
      </c>
      <c r="AB536" t="s">
        <v>74</v>
      </c>
      <c r="AC536" t="s">
        <v>74</v>
      </c>
      <c r="AD536" t="s">
        <v>74</v>
      </c>
      <c r="AE536" t="s">
        <v>74</v>
      </c>
      <c r="AF536" t="s">
        <v>74</v>
      </c>
      <c r="AG536">
        <v>19</v>
      </c>
      <c r="AH536">
        <v>6</v>
      </c>
      <c r="AI536">
        <v>6</v>
      </c>
      <c r="AJ536">
        <v>0</v>
      </c>
      <c r="AK536">
        <v>4</v>
      </c>
      <c r="AL536" t="s">
        <v>203</v>
      </c>
      <c r="AM536" t="s">
        <v>204</v>
      </c>
      <c r="AN536" t="s">
        <v>205</v>
      </c>
      <c r="AO536" t="s">
        <v>206</v>
      </c>
      <c r="AP536" t="s">
        <v>74</v>
      </c>
      <c r="AQ536" t="s">
        <v>74</v>
      </c>
      <c r="AR536" t="s">
        <v>207</v>
      </c>
      <c r="AS536" t="s">
        <v>208</v>
      </c>
      <c r="AT536" t="s">
        <v>6688</v>
      </c>
      <c r="AU536">
        <v>2001</v>
      </c>
      <c r="AV536">
        <v>24</v>
      </c>
      <c r="AW536">
        <v>6</v>
      </c>
      <c r="AX536" t="s">
        <v>74</v>
      </c>
      <c r="AY536" t="s">
        <v>74</v>
      </c>
      <c r="AZ536" t="s">
        <v>74</v>
      </c>
      <c r="BA536" t="s">
        <v>74</v>
      </c>
      <c r="BB536">
        <v>401</v>
      </c>
      <c r="BC536">
        <v>407</v>
      </c>
      <c r="BD536" t="s">
        <v>74</v>
      </c>
      <c r="BE536" t="s">
        <v>74</v>
      </c>
      <c r="BF536" t="s">
        <v>74</v>
      </c>
      <c r="BG536" t="s">
        <v>74</v>
      </c>
      <c r="BH536" t="s">
        <v>74</v>
      </c>
      <c r="BI536">
        <v>7</v>
      </c>
      <c r="BJ536" t="s">
        <v>209</v>
      </c>
      <c r="BK536" t="s">
        <v>88</v>
      </c>
      <c r="BL536" t="s">
        <v>210</v>
      </c>
      <c r="BM536" t="s">
        <v>7455</v>
      </c>
      <c r="BN536" t="s">
        <v>74</v>
      </c>
      <c r="BO536" t="s">
        <v>74</v>
      </c>
      <c r="BP536" t="s">
        <v>74</v>
      </c>
      <c r="BQ536" t="s">
        <v>74</v>
      </c>
      <c r="BR536" t="s">
        <v>91</v>
      </c>
      <c r="BS536" t="s">
        <v>7456</v>
      </c>
      <c r="BT536" t="str">
        <f>HYPERLINK("https%3A%2F%2Fwww.webofscience.com%2Fwos%2Fwoscc%2Ffull-record%2FWOS:000169214300003","View Full Record in Web of Science")</f>
        <v>View Full Record in Web of Science</v>
      </c>
    </row>
    <row r="537" spans="1:72" x14ac:dyDescent="0.15">
      <c r="A537" t="s">
        <v>72</v>
      </c>
      <c r="B537" t="s">
        <v>7457</v>
      </c>
      <c r="C537" t="s">
        <v>74</v>
      </c>
      <c r="D537" t="s">
        <v>74</v>
      </c>
      <c r="E537" t="s">
        <v>74</v>
      </c>
      <c r="F537" t="s">
        <v>7457</v>
      </c>
      <c r="G537" t="s">
        <v>74</v>
      </c>
      <c r="H537" t="s">
        <v>74</v>
      </c>
      <c r="I537" t="s">
        <v>7458</v>
      </c>
      <c r="J537" t="s">
        <v>194</v>
      </c>
      <c r="K537" t="s">
        <v>74</v>
      </c>
      <c r="L537" t="s">
        <v>74</v>
      </c>
      <c r="M537" t="s">
        <v>77</v>
      </c>
      <c r="N537" t="s">
        <v>120</v>
      </c>
      <c r="O537" t="s">
        <v>74</v>
      </c>
      <c r="P537" t="s">
        <v>74</v>
      </c>
      <c r="Q537" t="s">
        <v>74</v>
      </c>
      <c r="R537" t="s">
        <v>74</v>
      </c>
      <c r="S537" t="s">
        <v>74</v>
      </c>
      <c r="T537" t="s">
        <v>74</v>
      </c>
      <c r="U537" t="s">
        <v>7459</v>
      </c>
      <c r="V537" t="s">
        <v>7460</v>
      </c>
      <c r="W537" t="s">
        <v>7461</v>
      </c>
      <c r="X537" t="s">
        <v>7462</v>
      </c>
      <c r="Y537" t="s">
        <v>7463</v>
      </c>
      <c r="Z537" t="s">
        <v>74</v>
      </c>
      <c r="AA537" t="s">
        <v>7464</v>
      </c>
      <c r="AB537" t="s">
        <v>74</v>
      </c>
      <c r="AC537" t="s">
        <v>74</v>
      </c>
      <c r="AD537" t="s">
        <v>74</v>
      </c>
      <c r="AE537" t="s">
        <v>74</v>
      </c>
      <c r="AF537" t="s">
        <v>74</v>
      </c>
      <c r="AG537">
        <v>14</v>
      </c>
      <c r="AH537">
        <v>19</v>
      </c>
      <c r="AI537">
        <v>20</v>
      </c>
      <c r="AJ537">
        <v>2</v>
      </c>
      <c r="AK537">
        <v>9</v>
      </c>
      <c r="AL537" t="s">
        <v>203</v>
      </c>
      <c r="AM537" t="s">
        <v>204</v>
      </c>
      <c r="AN537" t="s">
        <v>205</v>
      </c>
      <c r="AO537" t="s">
        <v>206</v>
      </c>
      <c r="AP537" t="s">
        <v>74</v>
      </c>
      <c r="AQ537" t="s">
        <v>74</v>
      </c>
      <c r="AR537" t="s">
        <v>207</v>
      </c>
      <c r="AS537" t="s">
        <v>208</v>
      </c>
      <c r="AT537" t="s">
        <v>6688</v>
      </c>
      <c r="AU537">
        <v>2001</v>
      </c>
      <c r="AV537">
        <v>24</v>
      </c>
      <c r="AW537">
        <v>6</v>
      </c>
      <c r="AX537" t="s">
        <v>74</v>
      </c>
      <c r="AY537" t="s">
        <v>74</v>
      </c>
      <c r="AZ537" t="s">
        <v>74</v>
      </c>
      <c r="BA537" t="s">
        <v>74</v>
      </c>
      <c r="BB537">
        <v>408</v>
      </c>
      <c r="BC537">
        <v>410</v>
      </c>
      <c r="BD537" t="s">
        <v>74</v>
      </c>
      <c r="BE537" t="s">
        <v>7465</v>
      </c>
      <c r="BF537" t="str">
        <f>HYPERLINK("http://dx.doi.org/10.1007/s003000100229","http://dx.doi.org/10.1007/s003000100229")</f>
        <v>http://dx.doi.org/10.1007/s003000100229</v>
      </c>
      <c r="BG537" t="s">
        <v>74</v>
      </c>
      <c r="BH537" t="s">
        <v>74</v>
      </c>
      <c r="BI537">
        <v>3</v>
      </c>
      <c r="BJ537" t="s">
        <v>209</v>
      </c>
      <c r="BK537" t="s">
        <v>88</v>
      </c>
      <c r="BL537" t="s">
        <v>210</v>
      </c>
      <c r="BM537" t="s">
        <v>7455</v>
      </c>
      <c r="BN537" t="s">
        <v>74</v>
      </c>
      <c r="BO537" t="s">
        <v>74</v>
      </c>
      <c r="BP537" t="s">
        <v>74</v>
      </c>
      <c r="BQ537" t="s">
        <v>74</v>
      </c>
      <c r="BR537" t="s">
        <v>91</v>
      </c>
      <c r="BS537" t="s">
        <v>7466</v>
      </c>
      <c r="BT537" t="str">
        <f>HYPERLINK("https%3A%2F%2Fwww.webofscience.com%2Fwos%2Fwoscc%2Ffull-record%2FWOS:000169214300004","View Full Record in Web of Science")</f>
        <v>View Full Record in Web of Science</v>
      </c>
    </row>
    <row r="538" spans="1:72" x14ac:dyDescent="0.15">
      <c r="A538" t="s">
        <v>72</v>
      </c>
      <c r="B538" t="s">
        <v>7467</v>
      </c>
      <c r="C538" t="s">
        <v>74</v>
      </c>
      <c r="D538" t="s">
        <v>74</v>
      </c>
      <c r="E538" t="s">
        <v>74</v>
      </c>
      <c r="F538" t="s">
        <v>7467</v>
      </c>
      <c r="G538" t="s">
        <v>74</v>
      </c>
      <c r="H538" t="s">
        <v>74</v>
      </c>
      <c r="I538" t="s">
        <v>7468</v>
      </c>
      <c r="J538" t="s">
        <v>194</v>
      </c>
      <c r="K538" t="s">
        <v>74</v>
      </c>
      <c r="L538" t="s">
        <v>74</v>
      </c>
      <c r="M538" t="s">
        <v>77</v>
      </c>
      <c r="N538" t="s">
        <v>120</v>
      </c>
      <c r="O538" t="s">
        <v>74</v>
      </c>
      <c r="P538" t="s">
        <v>74</v>
      </c>
      <c r="Q538" t="s">
        <v>74</v>
      </c>
      <c r="R538" t="s">
        <v>74</v>
      </c>
      <c r="S538" t="s">
        <v>74</v>
      </c>
      <c r="T538" t="s">
        <v>74</v>
      </c>
      <c r="U538" t="s">
        <v>7469</v>
      </c>
      <c r="V538" t="s">
        <v>7470</v>
      </c>
      <c r="W538" t="s">
        <v>7471</v>
      </c>
      <c r="X538" t="s">
        <v>7472</v>
      </c>
      <c r="Y538" t="s">
        <v>7473</v>
      </c>
      <c r="Z538" t="s">
        <v>7474</v>
      </c>
      <c r="AA538" t="s">
        <v>7475</v>
      </c>
      <c r="AB538" t="s">
        <v>7476</v>
      </c>
      <c r="AC538" t="s">
        <v>74</v>
      </c>
      <c r="AD538" t="s">
        <v>74</v>
      </c>
      <c r="AE538" t="s">
        <v>74</v>
      </c>
      <c r="AF538" t="s">
        <v>74</v>
      </c>
      <c r="AG538">
        <v>31</v>
      </c>
      <c r="AH538">
        <v>18</v>
      </c>
      <c r="AI538">
        <v>19</v>
      </c>
      <c r="AJ538">
        <v>0</v>
      </c>
      <c r="AK538">
        <v>9</v>
      </c>
      <c r="AL538" t="s">
        <v>248</v>
      </c>
      <c r="AM538" t="s">
        <v>204</v>
      </c>
      <c r="AN538" t="s">
        <v>1622</v>
      </c>
      <c r="AO538" t="s">
        <v>206</v>
      </c>
      <c r="AP538" t="s">
        <v>250</v>
      </c>
      <c r="AQ538" t="s">
        <v>74</v>
      </c>
      <c r="AR538" t="s">
        <v>207</v>
      </c>
      <c r="AS538" t="s">
        <v>208</v>
      </c>
      <c r="AT538" t="s">
        <v>6688</v>
      </c>
      <c r="AU538">
        <v>2001</v>
      </c>
      <c r="AV538">
        <v>24</v>
      </c>
      <c r="AW538">
        <v>6</v>
      </c>
      <c r="AX538" t="s">
        <v>74</v>
      </c>
      <c r="AY538" t="s">
        <v>74</v>
      </c>
      <c r="AZ538" t="s">
        <v>74</v>
      </c>
      <c r="BA538" t="s">
        <v>74</v>
      </c>
      <c r="BB538">
        <v>417</v>
      </c>
      <c r="BC538">
        <v>421</v>
      </c>
      <c r="BD538" t="s">
        <v>74</v>
      </c>
      <c r="BE538" t="s">
        <v>74</v>
      </c>
      <c r="BF538" t="s">
        <v>74</v>
      </c>
      <c r="BG538" t="s">
        <v>74</v>
      </c>
      <c r="BH538" t="s">
        <v>74</v>
      </c>
      <c r="BI538">
        <v>5</v>
      </c>
      <c r="BJ538" t="s">
        <v>209</v>
      </c>
      <c r="BK538" t="s">
        <v>88</v>
      </c>
      <c r="BL538" t="s">
        <v>210</v>
      </c>
      <c r="BM538" t="s">
        <v>7455</v>
      </c>
      <c r="BN538" t="s">
        <v>74</v>
      </c>
      <c r="BO538" t="s">
        <v>74</v>
      </c>
      <c r="BP538" t="s">
        <v>74</v>
      </c>
      <c r="BQ538" t="s">
        <v>74</v>
      </c>
      <c r="BR538" t="s">
        <v>91</v>
      </c>
      <c r="BS538" t="s">
        <v>7477</v>
      </c>
      <c r="BT538" t="str">
        <f>HYPERLINK("https%3A%2F%2Fwww.webofscience.com%2Fwos%2Fwoscc%2Ffull-record%2FWOS:000169214300006","View Full Record in Web of Science")</f>
        <v>View Full Record in Web of Science</v>
      </c>
    </row>
    <row r="539" spans="1:72" x14ac:dyDescent="0.15">
      <c r="A539" t="s">
        <v>72</v>
      </c>
      <c r="B539" t="s">
        <v>7478</v>
      </c>
      <c r="C539" t="s">
        <v>74</v>
      </c>
      <c r="D539" t="s">
        <v>74</v>
      </c>
      <c r="E539" t="s">
        <v>74</v>
      </c>
      <c r="F539" t="s">
        <v>7478</v>
      </c>
      <c r="G539" t="s">
        <v>74</v>
      </c>
      <c r="H539" t="s">
        <v>74</v>
      </c>
      <c r="I539" t="s">
        <v>7479</v>
      </c>
      <c r="J539" t="s">
        <v>194</v>
      </c>
      <c r="K539" t="s">
        <v>74</v>
      </c>
      <c r="L539" t="s">
        <v>74</v>
      </c>
      <c r="M539" t="s">
        <v>77</v>
      </c>
      <c r="N539" t="s">
        <v>120</v>
      </c>
      <c r="O539" t="s">
        <v>74</v>
      </c>
      <c r="P539" t="s">
        <v>74</v>
      </c>
      <c r="Q539" t="s">
        <v>74</v>
      </c>
      <c r="R539" t="s">
        <v>74</v>
      </c>
      <c r="S539" t="s">
        <v>74</v>
      </c>
      <c r="T539" t="s">
        <v>74</v>
      </c>
      <c r="U539" t="s">
        <v>7480</v>
      </c>
      <c r="V539" t="s">
        <v>7481</v>
      </c>
      <c r="W539" t="s">
        <v>7482</v>
      </c>
      <c r="X539" t="s">
        <v>1433</v>
      </c>
      <c r="Y539" t="s">
        <v>7483</v>
      </c>
      <c r="Z539" t="s">
        <v>7484</v>
      </c>
      <c r="AA539" t="s">
        <v>74</v>
      </c>
      <c r="AB539" t="s">
        <v>74</v>
      </c>
      <c r="AC539" t="s">
        <v>74</v>
      </c>
      <c r="AD539" t="s">
        <v>74</v>
      </c>
      <c r="AE539" t="s">
        <v>74</v>
      </c>
      <c r="AF539" t="s">
        <v>74</v>
      </c>
      <c r="AG539">
        <v>36</v>
      </c>
      <c r="AH539">
        <v>9</v>
      </c>
      <c r="AI539">
        <v>9</v>
      </c>
      <c r="AJ539">
        <v>1</v>
      </c>
      <c r="AK539">
        <v>7</v>
      </c>
      <c r="AL539" t="s">
        <v>248</v>
      </c>
      <c r="AM539" t="s">
        <v>204</v>
      </c>
      <c r="AN539" t="s">
        <v>1622</v>
      </c>
      <c r="AO539" t="s">
        <v>206</v>
      </c>
      <c r="AP539" t="s">
        <v>250</v>
      </c>
      <c r="AQ539" t="s">
        <v>74</v>
      </c>
      <c r="AR539" t="s">
        <v>207</v>
      </c>
      <c r="AS539" t="s">
        <v>208</v>
      </c>
      <c r="AT539" t="s">
        <v>6688</v>
      </c>
      <c r="AU539">
        <v>2001</v>
      </c>
      <c r="AV539">
        <v>24</v>
      </c>
      <c r="AW539">
        <v>6</v>
      </c>
      <c r="AX539" t="s">
        <v>74</v>
      </c>
      <c r="AY539" t="s">
        <v>74</v>
      </c>
      <c r="AZ539" t="s">
        <v>74</v>
      </c>
      <c r="BA539" t="s">
        <v>74</v>
      </c>
      <c r="BB539">
        <v>440</v>
      </c>
      <c r="BC539">
        <v>446</v>
      </c>
      <c r="BD539" t="s">
        <v>74</v>
      </c>
      <c r="BE539" t="s">
        <v>74</v>
      </c>
      <c r="BF539" t="s">
        <v>74</v>
      </c>
      <c r="BG539" t="s">
        <v>74</v>
      </c>
      <c r="BH539" t="s">
        <v>74</v>
      </c>
      <c r="BI539">
        <v>7</v>
      </c>
      <c r="BJ539" t="s">
        <v>209</v>
      </c>
      <c r="BK539" t="s">
        <v>88</v>
      </c>
      <c r="BL539" t="s">
        <v>210</v>
      </c>
      <c r="BM539" t="s">
        <v>7455</v>
      </c>
      <c r="BN539" t="s">
        <v>74</v>
      </c>
      <c r="BO539" t="s">
        <v>74</v>
      </c>
      <c r="BP539" t="s">
        <v>74</v>
      </c>
      <c r="BQ539" t="s">
        <v>74</v>
      </c>
      <c r="BR539" t="s">
        <v>91</v>
      </c>
      <c r="BS539" t="s">
        <v>7485</v>
      </c>
      <c r="BT539" t="str">
        <f>HYPERLINK("https%3A%2F%2Fwww.webofscience.com%2Fwos%2Fwoscc%2Ffull-record%2FWOS:000169214300009","View Full Record in Web of Science")</f>
        <v>View Full Record in Web of Science</v>
      </c>
    </row>
    <row r="540" spans="1:72" x14ac:dyDescent="0.15">
      <c r="A540" t="s">
        <v>72</v>
      </c>
      <c r="B540" t="s">
        <v>7486</v>
      </c>
      <c r="C540" t="s">
        <v>74</v>
      </c>
      <c r="D540" t="s">
        <v>74</v>
      </c>
      <c r="E540" t="s">
        <v>74</v>
      </c>
      <c r="F540" t="s">
        <v>7486</v>
      </c>
      <c r="G540" t="s">
        <v>74</v>
      </c>
      <c r="H540" t="s">
        <v>74</v>
      </c>
      <c r="I540" t="s">
        <v>7487</v>
      </c>
      <c r="J540" t="s">
        <v>194</v>
      </c>
      <c r="K540" t="s">
        <v>74</v>
      </c>
      <c r="L540" t="s">
        <v>74</v>
      </c>
      <c r="M540" t="s">
        <v>77</v>
      </c>
      <c r="N540" t="s">
        <v>120</v>
      </c>
      <c r="O540" t="s">
        <v>74</v>
      </c>
      <c r="P540" t="s">
        <v>74</v>
      </c>
      <c r="Q540" t="s">
        <v>74</v>
      </c>
      <c r="R540" t="s">
        <v>74</v>
      </c>
      <c r="S540" t="s">
        <v>74</v>
      </c>
      <c r="T540" t="s">
        <v>74</v>
      </c>
      <c r="U540" t="s">
        <v>7488</v>
      </c>
      <c r="V540" t="s">
        <v>7489</v>
      </c>
      <c r="W540" t="s">
        <v>7490</v>
      </c>
      <c r="X540" t="s">
        <v>3987</v>
      </c>
      <c r="Y540" t="s">
        <v>7491</v>
      </c>
      <c r="Z540" t="s">
        <v>74</v>
      </c>
      <c r="AA540" t="s">
        <v>74</v>
      </c>
      <c r="AB540" t="s">
        <v>74</v>
      </c>
      <c r="AC540" t="s">
        <v>74</v>
      </c>
      <c r="AD540" t="s">
        <v>74</v>
      </c>
      <c r="AE540" t="s">
        <v>74</v>
      </c>
      <c r="AF540" t="s">
        <v>74</v>
      </c>
      <c r="AG540">
        <v>37</v>
      </c>
      <c r="AH540">
        <v>25</v>
      </c>
      <c r="AI540">
        <v>25</v>
      </c>
      <c r="AJ540">
        <v>0</v>
      </c>
      <c r="AK540">
        <v>7</v>
      </c>
      <c r="AL540" t="s">
        <v>203</v>
      </c>
      <c r="AM540" t="s">
        <v>204</v>
      </c>
      <c r="AN540" t="s">
        <v>205</v>
      </c>
      <c r="AO540" t="s">
        <v>206</v>
      </c>
      <c r="AP540" t="s">
        <v>74</v>
      </c>
      <c r="AQ540" t="s">
        <v>74</v>
      </c>
      <c r="AR540" t="s">
        <v>207</v>
      </c>
      <c r="AS540" t="s">
        <v>208</v>
      </c>
      <c r="AT540" t="s">
        <v>6688</v>
      </c>
      <c r="AU540">
        <v>2001</v>
      </c>
      <c r="AV540">
        <v>24</v>
      </c>
      <c r="AW540">
        <v>6</v>
      </c>
      <c r="AX540" t="s">
        <v>74</v>
      </c>
      <c r="AY540" t="s">
        <v>74</v>
      </c>
      <c r="AZ540" t="s">
        <v>74</v>
      </c>
      <c r="BA540" t="s">
        <v>74</v>
      </c>
      <c r="BB540">
        <v>447</v>
      </c>
      <c r="BC540">
        <v>454</v>
      </c>
      <c r="BD540" t="s">
        <v>74</v>
      </c>
      <c r="BE540" t="s">
        <v>7492</v>
      </c>
      <c r="BF540" t="str">
        <f>HYPERLINK("http://dx.doi.org/10.1007/s003000100240","http://dx.doi.org/10.1007/s003000100240")</f>
        <v>http://dx.doi.org/10.1007/s003000100240</v>
      </c>
      <c r="BG540" t="s">
        <v>74</v>
      </c>
      <c r="BH540" t="s">
        <v>74</v>
      </c>
      <c r="BI540">
        <v>8</v>
      </c>
      <c r="BJ540" t="s">
        <v>209</v>
      </c>
      <c r="BK540" t="s">
        <v>88</v>
      </c>
      <c r="BL540" t="s">
        <v>210</v>
      </c>
      <c r="BM540" t="s">
        <v>7455</v>
      </c>
      <c r="BN540" t="s">
        <v>74</v>
      </c>
      <c r="BO540" t="s">
        <v>74</v>
      </c>
      <c r="BP540" t="s">
        <v>74</v>
      </c>
      <c r="BQ540" t="s">
        <v>74</v>
      </c>
      <c r="BR540" t="s">
        <v>91</v>
      </c>
      <c r="BS540" t="s">
        <v>7493</v>
      </c>
      <c r="BT540" t="str">
        <f>HYPERLINK("https%3A%2F%2Fwww.webofscience.com%2Fwos%2Fwoscc%2Ffull-record%2FWOS:000169214300010","View Full Record in Web of Science")</f>
        <v>View Full Record in Web of Science</v>
      </c>
    </row>
    <row r="541" spans="1:72" x14ac:dyDescent="0.15">
      <c r="A541" t="s">
        <v>72</v>
      </c>
      <c r="B541" t="s">
        <v>7494</v>
      </c>
      <c r="C541" t="s">
        <v>74</v>
      </c>
      <c r="D541" t="s">
        <v>74</v>
      </c>
      <c r="E541" t="s">
        <v>74</v>
      </c>
      <c r="F541" t="s">
        <v>7494</v>
      </c>
      <c r="G541" t="s">
        <v>74</v>
      </c>
      <c r="H541" t="s">
        <v>74</v>
      </c>
      <c r="I541" t="s">
        <v>7495</v>
      </c>
      <c r="J541" t="s">
        <v>194</v>
      </c>
      <c r="K541" t="s">
        <v>74</v>
      </c>
      <c r="L541" t="s">
        <v>74</v>
      </c>
      <c r="M541" t="s">
        <v>77</v>
      </c>
      <c r="N541" t="s">
        <v>120</v>
      </c>
      <c r="O541" t="s">
        <v>74</v>
      </c>
      <c r="P541" t="s">
        <v>74</v>
      </c>
      <c r="Q541" t="s">
        <v>74</v>
      </c>
      <c r="R541" t="s">
        <v>74</v>
      </c>
      <c r="S541" t="s">
        <v>74</v>
      </c>
      <c r="T541" t="s">
        <v>74</v>
      </c>
      <c r="U541" t="s">
        <v>7496</v>
      </c>
      <c r="V541" t="s">
        <v>7497</v>
      </c>
      <c r="W541" t="s">
        <v>7498</v>
      </c>
      <c r="X541" t="s">
        <v>366</v>
      </c>
      <c r="Y541" t="s">
        <v>7499</v>
      </c>
      <c r="Z541" t="s">
        <v>7500</v>
      </c>
      <c r="AA541" t="s">
        <v>74</v>
      </c>
      <c r="AB541" t="s">
        <v>74</v>
      </c>
      <c r="AC541" t="s">
        <v>74</v>
      </c>
      <c r="AD541" t="s">
        <v>74</v>
      </c>
      <c r="AE541" t="s">
        <v>74</v>
      </c>
      <c r="AF541" t="s">
        <v>74</v>
      </c>
      <c r="AG541">
        <v>26</v>
      </c>
      <c r="AH541">
        <v>7</v>
      </c>
      <c r="AI541">
        <v>9</v>
      </c>
      <c r="AJ541">
        <v>0</v>
      </c>
      <c r="AK541">
        <v>7</v>
      </c>
      <c r="AL541" t="s">
        <v>248</v>
      </c>
      <c r="AM541" t="s">
        <v>204</v>
      </c>
      <c r="AN541" t="s">
        <v>1622</v>
      </c>
      <c r="AO541" t="s">
        <v>206</v>
      </c>
      <c r="AP541" t="s">
        <v>250</v>
      </c>
      <c r="AQ541" t="s">
        <v>74</v>
      </c>
      <c r="AR541" t="s">
        <v>207</v>
      </c>
      <c r="AS541" t="s">
        <v>208</v>
      </c>
      <c r="AT541" t="s">
        <v>6688</v>
      </c>
      <c r="AU541">
        <v>2001</v>
      </c>
      <c r="AV541">
        <v>24</v>
      </c>
      <c r="AW541">
        <v>6</v>
      </c>
      <c r="AX541" t="s">
        <v>74</v>
      </c>
      <c r="AY541" t="s">
        <v>74</v>
      </c>
      <c r="AZ541" t="s">
        <v>74</v>
      </c>
      <c r="BA541" t="s">
        <v>74</v>
      </c>
      <c r="BB541">
        <v>455</v>
      </c>
      <c r="BC541">
        <v>459</v>
      </c>
      <c r="BD541" t="s">
        <v>74</v>
      </c>
      <c r="BE541" t="s">
        <v>74</v>
      </c>
      <c r="BF541" t="s">
        <v>74</v>
      </c>
      <c r="BG541" t="s">
        <v>74</v>
      </c>
      <c r="BH541" t="s">
        <v>74</v>
      </c>
      <c r="BI541">
        <v>5</v>
      </c>
      <c r="BJ541" t="s">
        <v>209</v>
      </c>
      <c r="BK541" t="s">
        <v>88</v>
      </c>
      <c r="BL541" t="s">
        <v>210</v>
      </c>
      <c r="BM541" t="s">
        <v>7455</v>
      </c>
      <c r="BN541" t="s">
        <v>74</v>
      </c>
      <c r="BO541" t="s">
        <v>74</v>
      </c>
      <c r="BP541" t="s">
        <v>74</v>
      </c>
      <c r="BQ541" t="s">
        <v>74</v>
      </c>
      <c r="BR541" t="s">
        <v>91</v>
      </c>
      <c r="BS541" t="s">
        <v>7501</v>
      </c>
      <c r="BT541" t="str">
        <f>HYPERLINK("https%3A%2F%2Fwww.webofscience.com%2Fwos%2Fwoscc%2Ffull-record%2FWOS:000169214300011","View Full Record in Web of Science")</f>
        <v>View Full Record in Web of Science</v>
      </c>
    </row>
    <row r="542" spans="1:72" x14ac:dyDescent="0.15">
      <c r="A542" t="s">
        <v>72</v>
      </c>
      <c r="B542" t="s">
        <v>7502</v>
      </c>
      <c r="C542" t="s">
        <v>74</v>
      </c>
      <c r="D542" t="s">
        <v>74</v>
      </c>
      <c r="E542" t="s">
        <v>74</v>
      </c>
      <c r="F542" t="s">
        <v>7502</v>
      </c>
      <c r="G542" t="s">
        <v>74</v>
      </c>
      <c r="H542" t="s">
        <v>74</v>
      </c>
      <c r="I542" t="s">
        <v>7503</v>
      </c>
      <c r="J542" t="s">
        <v>7504</v>
      </c>
      <c r="K542" t="s">
        <v>74</v>
      </c>
      <c r="L542" t="s">
        <v>74</v>
      </c>
      <c r="M542" t="s">
        <v>77</v>
      </c>
      <c r="N542" t="s">
        <v>120</v>
      </c>
      <c r="O542" t="s">
        <v>74</v>
      </c>
      <c r="P542" t="s">
        <v>74</v>
      </c>
      <c r="Q542" t="s">
        <v>74</v>
      </c>
      <c r="R542" t="s">
        <v>74</v>
      </c>
      <c r="S542" t="s">
        <v>74</v>
      </c>
      <c r="T542" t="s">
        <v>7505</v>
      </c>
      <c r="U542" t="s">
        <v>7506</v>
      </c>
      <c r="V542" t="s">
        <v>7507</v>
      </c>
      <c r="W542" t="s">
        <v>7508</v>
      </c>
      <c r="X542" t="s">
        <v>7509</v>
      </c>
      <c r="Y542" t="s">
        <v>7510</v>
      </c>
      <c r="Z542" t="s">
        <v>74</v>
      </c>
      <c r="AA542" t="s">
        <v>74</v>
      </c>
      <c r="AB542" t="s">
        <v>7511</v>
      </c>
      <c r="AC542" t="s">
        <v>74</v>
      </c>
      <c r="AD542" t="s">
        <v>74</v>
      </c>
      <c r="AE542" t="s">
        <v>74</v>
      </c>
      <c r="AF542" t="s">
        <v>74</v>
      </c>
      <c r="AG542">
        <v>52</v>
      </c>
      <c r="AH542">
        <v>320</v>
      </c>
      <c r="AI542">
        <v>338</v>
      </c>
      <c r="AJ542">
        <v>2</v>
      </c>
      <c r="AK542">
        <v>33</v>
      </c>
      <c r="AL542" t="s">
        <v>488</v>
      </c>
      <c r="AM542" t="s">
        <v>350</v>
      </c>
      <c r="AN542" t="s">
        <v>489</v>
      </c>
      <c r="AO542" t="s">
        <v>7512</v>
      </c>
      <c r="AP542" t="s">
        <v>74</v>
      </c>
      <c r="AQ542" t="s">
        <v>74</v>
      </c>
      <c r="AR542" t="s">
        <v>7513</v>
      </c>
      <c r="AS542" t="s">
        <v>7514</v>
      </c>
      <c r="AT542" t="s">
        <v>6947</v>
      </c>
      <c r="AU542">
        <v>2001</v>
      </c>
      <c r="AV542">
        <v>108</v>
      </c>
      <c r="AW542" t="s">
        <v>451</v>
      </c>
      <c r="AX542" t="s">
        <v>74</v>
      </c>
      <c r="AY542" t="s">
        <v>74</v>
      </c>
      <c r="AZ542" t="s">
        <v>74</v>
      </c>
      <c r="BA542" t="s">
        <v>74</v>
      </c>
      <c r="BB542">
        <v>319</v>
      </c>
      <c r="BC542">
        <v>333</v>
      </c>
      <c r="BD542" t="s">
        <v>74</v>
      </c>
      <c r="BE542" t="s">
        <v>7515</v>
      </c>
      <c r="BF542" t="str">
        <f>HYPERLINK("http://dx.doi.org/10.1016/S0301-9268(01)00139-5","http://dx.doi.org/10.1016/S0301-9268(01)00139-5")</f>
        <v>http://dx.doi.org/10.1016/S0301-9268(01)00139-5</v>
      </c>
      <c r="BG542" t="s">
        <v>74</v>
      </c>
      <c r="BH542" t="s">
        <v>74</v>
      </c>
      <c r="BI542">
        <v>15</v>
      </c>
      <c r="BJ542" t="s">
        <v>300</v>
      </c>
      <c r="BK542" t="s">
        <v>88</v>
      </c>
      <c r="BL542" t="s">
        <v>113</v>
      </c>
      <c r="BM542" t="s">
        <v>7516</v>
      </c>
      <c r="BN542" t="s">
        <v>74</v>
      </c>
      <c r="BO542" t="s">
        <v>74</v>
      </c>
      <c r="BP542" t="s">
        <v>74</v>
      </c>
      <c r="BQ542" t="s">
        <v>74</v>
      </c>
      <c r="BR542" t="s">
        <v>91</v>
      </c>
      <c r="BS542" t="s">
        <v>7517</v>
      </c>
      <c r="BT542" t="str">
        <f>HYPERLINK("https%3A%2F%2Fwww.webofscience.com%2Fwos%2Fwoscc%2Ffull-record%2FWOS:000168883200008","View Full Record in Web of Science")</f>
        <v>View Full Record in Web of Science</v>
      </c>
    </row>
    <row r="543" spans="1:72" x14ac:dyDescent="0.15">
      <c r="A543" t="s">
        <v>72</v>
      </c>
      <c r="B543" t="s">
        <v>7518</v>
      </c>
      <c r="C543" t="s">
        <v>74</v>
      </c>
      <c r="D543" t="s">
        <v>74</v>
      </c>
      <c r="E543" t="s">
        <v>74</v>
      </c>
      <c r="F543" t="s">
        <v>7518</v>
      </c>
      <c r="G543" t="s">
        <v>74</v>
      </c>
      <c r="H543" t="s">
        <v>74</v>
      </c>
      <c r="I543" t="s">
        <v>7519</v>
      </c>
      <c r="J543" t="s">
        <v>4235</v>
      </c>
      <c r="K543" t="s">
        <v>74</v>
      </c>
      <c r="L543" t="s">
        <v>74</v>
      </c>
      <c r="M543" t="s">
        <v>77</v>
      </c>
      <c r="N543" t="s">
        <v>96</v>
      </c>
      <c r="O543" t="s">
        <v>74</v>
      </c>
      <c r="P543" t="s">
        <v>74</v>
      </c>
      <c r="Q543" t="s">
        <v>74</v>
      </c>
      <c r="R543" t="s">
        <v>74</v>
      </c>
      <c r="S543" t="s">
        <v>74</v>
      </c>
      <c r="T543" t="s">
        <v>7520</v>
      </c>
      <c r="U543" t="s">
        <v>7521</v>
      </c>
      <c r="V543" t="s">
        <v>7522</v>
      </c>
      <c r="W543" t="s">
        <v>7523</v>
      </c>
      <c r="X543" t="s">
        <v>7524</v>
      </c>
      <c r="Y543" t="s">
        <v>7525</v>
      </c>
      <c r="Z543" t="s">
        <v>74</v>
      </c>
      <c r="AA543" t="s">
        <v>74</v>
      </c>
      <c r="AB543" t="s">
        <v>74</v>
      </c>
      <c r="AC543" t="s">
        <v>74</v>
      </c>
      <c r="AD543" t="s">
        <v>74</v>
      </c>
      <c r="AE543" t="s">
        <v>74</v>
      </c>
      <c r="AF543" t="s">
        <v>74</v>
      </c>
      <c r="AG543">
        <v>153</v>
      </c>
      <c r="AH543">
        <v>20</v>
      </c>
      <c r="AI543">
        <v>21</v>
      </c>
      <c r="AJ543">
        <v>0</v>
      </c>
      <c r="AK543">
        <v>3</v>
      </c>
      <c r="AL543" t="s">
        <v>4243</v>
      </c>
      <c r="AM543" t="s">
        <v>4244</v>
      </c>
      <c r="AN543" t="s">
        <v>4245</v>
      </c>
      <c r="AO543" t="s">
        <v>4246</v>
      </c>
      <c r="AP543" t="s">
        <v>74</v>
      </c>
      <c r="AQ543" t="s">
        <v>74</v>
      </c>
      <c r="AR543" t="s">
        <v>4247</v>
      </c>
      <c r="AS543" t="s">
        <v>4248</v>
      </c>
      <c r="AT543" t="s">
        <v>6688</v>
      </c>
      <c r="AU543">
        <v>2001</v>
      </c>
      <c r="AV543">
        <v>18</v>
      </c>
      <c r="AW543">
        <v>1</v>
      </c>
      <c r="AX543" t="s">
        <v>74</v>
      </c>
      <c r="AY543" t="s">
        <v>74</v>
      </c>
      <c r="AZ543" t="s">
        <v>74</v>
      </c>
      <c r="BA543" t="s">
        <v>74</v>
      </c>
      <c r="BB543">
        <v>12</v>
      </c>
      <c r="BC543">
        <v>40</v>
      </c>
      <c r="BD543" t="s">
        <v>74</v>
      </c>
      <c r="BE543" t="s">
        <v>7526</v>
      </c>
      <c r="BF543" t="str">
        <f>HYPERLINK("http://dx.doi.org/10.1071/AS01003","http://dx.doi.org/10.1071/AS01003")</f>
        <v>http://dx.doi.org/10.1071/AS01003</v>
      </c>
      <c r="BG543" t="s">
        <v>74</v>
      </c>
      <c r="BH543" t="s">
        <v>74</v>
      </c>
      <c r="BI543">
        <v>29</v>
      </c>
      <c r="BJ543" t="s">
        <v>1139</v>
      </c>
      <c r="BK543" t="s">
        <v>88</v>
      </c>
      <c r="BL543" t="s">
        <v>1139</v>
      </c>
      <c r="BM543" t="s">
        <v>7527</v>
      </c>
      <c r="BN543" t="s">
        <v>74</v>
      </c>
      <c r="BO543" t="s">
        <v>7125</v>
      </c>
      <c r="BP543" t="s">
        <v>74</v>
      </c>
      <c r="BQ543" t="s">
        <v>74</v>
      </c>
      <c r="BR543" t="s">
        <v>91</v>
      </c>
      <c r="BS543" t="s">
        <v>7528</v>
      </c>
      <c r="BT543" t="str">
        <f>HYPERLINK("https%3A%2F%2Fwww.webofscience.com%2Fwos%2Fwoscc%2Ffull-record%2FWOS:000170592000002","View Full Record in Web of Science")</f>
        <v>View Full Record in Web of Science</v>
      </c>
    </row>
    <row r="544" spans="1:72" x14ac:dyDescent="0.15">
      <c r="A544" t="s">
        <v>72</v>
      </c>
      <c r="B544" t="s">
        <v>7529</v>
      </c>
      <c r="C544" t="s">
        <v>74</v>
      </c>
      <c r="D544" t="s">
        <v>74</v>
      </c>
      <c r="E544" t="s">
        <v>74</v>
      </c>
      <c r="F544" t="s">
        <v>7529</v>
      </c>
      <c r="G544" t="s">
        <v>74</v>
      </c>
      <c r="H544" t="s">
        <v>74</v>
      </c>
      <c r="I544" t="s">
        <v>7530</v>
      </c>
      <c r="J544" t="s">
        <v>4281</v>
      </c>
      <c r="K544" t="s">
        <v>74</v>
      </c>
      <c r="L544" t="s">
        <v>74</v>
      </c>
      <c r="M544" t="s">
        <v>77</v>
      </c>
      <c r="N544" t="s">
        <v>120</v>
      </c>
      <c r="O544" t="s">
        <v>74</v>
      </c>
      <c r="P544" t="s">
        <v>74</v>
      </c>
      <c r="Q544" t="s">
        <v>74</v>
      </c>
      <c r="R544" t="s">
        <v>74</v>
      </c>
      <c r="S544" t="s">
        <v>74</v>
      </c>
      <c r="T544" t="s">
        <v>7531</v>
      </c>
      <c r="U544" t="s">
        <v>7532</v>
      </c>
      <c r="V544" t="s">
        <v>7533</v>
      </c>
      <c r="W544" t="s">
        <v>5001</v>
      </c>
      <c r="X544" t="s">
        <v>462</v>
      </c>
      <c r="Y544" t="s">
        <v>7534</v>
      </c>
      <c r="Z544" t="s">
        <v>74</v>
      </c>
      <c r="AA544" t="s">
        <v>7535</v>
      </c>
      <c r="AB544" t="s">
        <v>7536</v>
      </c>
      <c r="AC544" t="s">
        <v>74</v>
      </c>
      <c r="AD544" t="s">
        <v>74</v>
      </c>
      <c r="AE544" t="s">
        <v>74</v>
      </c>
      <c r="AF544" t="s">
        <v>74</v>
      </c>
      <c r="AG544">
        <v>76</v>
      </c>
      <c r="AH544">
        <v>55</v>
      </c>
      <c r="AI544">
        <v>59</v>
      </c>
      <c r="AJ544">
        <v>0</v>
      </c>
      <c r="AK544">
        <v>9</v>
      </c>
      <c r="AL544" t="s">
        <v>488</v>
      </c>
      <c r="AM544" t="s">
        <v>350</v>
      </c>
      <c r="AN544" t="s">
        <v>489</v>
      </c>
      <c r="AO544" t="s">
        <v>4290</v>
      </c>
      <c r="AP544" t="s">
        <v>74</v>
      </c>
      <c r="AQ544" t="s">
        <v>74</v>
      </c>
      <c r="AR544" t="s">
        <v>4291</v>
      </c>
      <c r="AS544" t="s">
        <v>4292</v>
      </c>
      <c r="AT544" t="s">
        <v>6688</v>
      </c>
      <c r="AU544">
        <v>2001</v>
      </c>
      <c r="AV544">
        <v>115</v>
      </c>
      <c r="AW544" t="s">
        <v>451</v>
      </c>
      <c r="AX544" t="s">
        <v>74</v>
      </c>
      <c r="AY544" t="s">
        <v>74</v>
      </c>
      <c r="AZ544" t="s">
        <v>74</v>
      </c>
      <c r="BA544" t="s">
        <v>74</v>
      </c>
      <c r="BB544">
        <v>119</v>
      </c>
      <c r="BC544">
        <v>145</v>
      </c>
      <c r="BD544" t="s">
        <v>74</v>
      </c>
      <c r="BE544" t="s">
        <v>7537</v>
      </c>
      <c r="BF544" t="str">
        <f>HYPERLINK("http://dx.doi.org/10.1016/S0034-6667(01)00053-7","http://dx.doi.org/10.1016/S0034-6667(01)00053-7")</f>
        <v>http://dx.doi.org/10.1016/S0034-6667(01)00053-7</v>
      </c>
      <c r="BG544" t="s">
        <v>74</v>
      </c>
      <c r="BH544" t="s">
        <v>74</v>
      </c>
      <c r="BI544">
        <v>27</v>
      </c>
      <c r="BJ544" t="s">
        <v>4294</v>
      </c>
      <c r="BK544" t="s">
        <v>88</v>
      </c>
      <c r="BL544" t="s">
        <v>4294</v>
      </c>
      <c r="BM544" t="s">
        <v>7538</v>
      </c>
      <c r="BN544">
        <v>11440766</v>
      </c>
      <c r="BO544" t="s">
        <v>74</v>
      </c>
      <c r="BP544" t="s">
        <v>74</v>
      </c>
      <c r="BQ544" t="s">
        <v>74</v>
      </c>
      <c r="BR544" t="s">
        <v>91</v>
      </c>
      <c r="BS544" t="s">
        <v>7539</v>
      </c>
      <c r="BT544" t="str">
        <f>HYPERLINK("https%3A%2F%2Fwww.webofscience.com%2Fwos%2Fwoscc%2Ffull-record%2FWOS:000170971700002","View Full Record in Web of Science")</f>
        <v>View Full Record in Web of Science</v>
      </c>
    </row>
    <row r="545" spans="1:72" x14ac:dyDescent="0.15">
      <c r="A545" t="s">
        <v>72</v>
      </c>
      <c r="B545" t="s">
        <v>7540</v>
      </c>
      <c r="C545" t="s">
        <v>74</v>
      </c>
      <c r="D545" t="s">
        <v>74</v>
      </c>
      <c r="E545" t="s">
        <v>74</v>
      </c>
      <c r="F545" t="s">
        <v>7540</v>
      </c>
      <c r="G545" t="s">
        <v>74</v>
      </c>
      <c r="H545" t="s">
        <v>74</v>
      </c>
      <c r="I545" t="s">
        <v>7541</v>
      </c>
      <c r="J545" t="s">
        <v>7542</v>
      </c>
      <c r="K545" t="s">
        <v>74</v>
      </c>
      <c r="L545" t="s">
        <v>74</v>
      </c>
      <c r="M545" t="s">
        <v>77</v>
      </c>
      <c r="N545" t="s">
        <v>435</v>
      </c>
      <c r="O545" t="s">
        <v>7543</v>
      </c>
      <c r="P545">
        <v>1999</v>
      </c>
      <c r="Q545" t="s">
        <v>7544</v>
      </c>
      <c r="R545" t="s">
        <v>74</v>
      </c>
      <c r="S545" t="s">
        <v>74</v>
      </c>
      <c r="T545" t="s">
        <v>7545</v>
      </c>
      <c r="U545" t="s">
        <v>7546</v>
      </c>
      <c r="V545" t="s">
        <v>7547</v>
      </c>
      <c r="W545" t="s">
        <v>7548</v>
      </c>
      <c r="X545" t="s">
        <v>7549</v>
      </c>
      <c r="Y545" t="s">
        <v>74</v>
      </c>
      <c r="Z545" t="s">
        <v>7550</v>
      </c>
      <c r="AA545" t="s">
        <v>74</v>
      </c>
      <c r="AB545" t="s">
        <v>74</v>
      </c>
      <c r="AC545" t="s">
        <v>74</v>
      </c>
      <c r="AD545" t="s">
        <v>74</v>
      </c>
      <c r="AE545" t="s">
        <v>74</v>
      </c>
      <c r="AF545" t="s">
        <v>74</v>
      </c>
      <c r="AG545">
        <v>75</v>
      </c>
      <c r="AH545">
        <v>11</v>
      </c>
      <c r="AI545">
        <v>11</v>
      </c>
      <c r="AJ545">
        <v>1</v>
      </c>
      <c r="AK545">
        <v>19</v>
      </c>
      <c r="AL545" t="s">
        <v>7551</v>
      </c>
      <c r="AM545" t="s">
        <v>7552</v>
      </c>
      <c r="AN545" t="s">
        <v>7553</v>
      </c>
      <c r="AO545" t="s">
        <v>7554</v>
      </c>
      <c r="AP545" t="s">
        <v>7555</v>
      </c>
      <c r="AQ545" t="s">
        <v>74</v>
      </c>
      <c r="AR545" t="s">
        <v>7556</v>
      </c>
      <c r="AS545" t="s">
        <v>7557</v>
      </c>
      <c r="AT545" t="s">
        <v>6688</v>
      </c>
      <c r="AU545">
        <v>2001</v>
      </c>
      <c r="AV545">
        <v>74</v>
      </c>
      <c r="AW545">
        <v>2</v>
      </c>
      <c r="AX545" t="s">
        <v>74</v>
      </c>
      <c r="AY545" t="s">
        <v>74</v>
      </c>
      <c r="AZ545" t="s">
        <v>74</v>
      </c>
      <c r="BA545" t="s">
        <v>74</v>
      </c>
      <c r="BB545">
        <v>251</v>
      </c>
      <c r="BC545">
        <v>271</v>
      </c>
      <c r="BD545" t="s">
        <v>74</v>
      </c>
      <c r="BE545" t="s">
        <v>7558</v>
      </c>
      <c r="BF545" t="str">
        <f>HYPERLINK("http://dx.doi.org/10.4067/S0716-078X2001000200004","http://dx.doi.org/10.4067/S0716-078X2001000200004")</f>
        <v>http://dx.doi.org/10.4067/S0716-078X2001000200004</v>
      </c>
      <c r="BG545" t="s">
        <v>74</v>
      </c>
      <c r="BH545" t="s">
        <v>74</v>
      </c>
      <c r="BI545">
        <v>21</v>
      </c>
      <c r="BJ545" t="s">
        <v>209</v>
      </c>
      <c r="BK545" t="s">
        <v>816</v>
      </c>
      <c r="BL545" t="s">
        <v>210</v>
      </c>
      <c r="BM545" t="s">
        <v>7559</v>
      </c>
      <c r="BN545" t="s">
        <v>74</v>
      </c>
      <c r="BO545" t="s">
        <v>4311</v>
      </c>
      <c r="BP545" t="s">
        <v>74</v>
      </c>
      <c r="BQ545" t="s">
        <v>74</v>
      </c>
      <c r="BR545" t="s">
        <v>91</v>
      </c>
      <c r="BS545" t="s">
        <v>7560</v>
      </c>
      <c r="BT545" t="str">
        <f>HYPERLINK("https%3A%2F%2Fwww.webofscience.com%2Fwos%2Fwoscc%2Ffull-record%2FWOS:000170178000004","View Full Record in Web of Science")</f>
        <v>View Full Record in Web of Science</v>
      </c>
    </row>
    <row r="546" spans="1:72" x14ac:dyDescent="0.15">
      <c r="A546" t="s">
        <v>72</v>
      </c>
      <c r="B546" t="s">
        <v>7561</v>
      </c>
      <c r="C546" t="s">
        <v>74</v>
      </c>
      <c r="D546" t="s">
        <v>74</v>
      </c>
      <c r="E546" t="s">
        <v>74</v>
      </c>
      <c r="F546" t="s">
        <v>7561</v>
      </c>
      <c r="G546" t="s">
        <v>74</v>
      </c>
      <c r="H546" t="s">
        <v>74</v>
      </c>
      <c r="I546" t="s">
        <v>7562</v>
      </c>
      <c r="J546" t="s">
        <v>7542</v>
      </c>
      <c r="K546" t="s">
        <v>74</v>
      </c>
      <c r="L546" t="s">
        <v>74</v>
      </c>
      <c r="M546" t="s">
        <v>77</v>
      </c>
      <c r="N546" t="s">
        <v>435</v>
      </c>
      <c r="O546" t="s">
        <v>7543</v>
      </c>
      <c r="P546">
        <v>1999</v>
      </c>
      <c r="Q546" t="s">
        <v>7544</v>
      </c>
      <c r="R546" t="s">
        <v>74</v>
      </c>
      <c r="S546" t="s">
        <v>74</v>
      </c>
      <c r="T546" t="s">
        <v>7563</v>
      </c>
      <c r="U546" t="s">
        <v>7564</v>
      </c>
      <c r="V546" t="s">
        <v>7565</v>
      </c>
      <c r="W546" t="s">
        <v>7566</v>
      </c>
      <c r="X546" t="s">
        <v>74</v>
      </c>
      <c r="Y546" t="s">
        <v>7567</v>
      </c>
      <c r="Z546" t="s">
        <v>74</v>
      </c>
      <c r="AA546" t="s">
        <v>74</v>
      </c>
      <c r="AB546" t="s">
        <v>74</v>
      </c>
      <c r="AC546" t="s">
        <v>74</v>
      </c>
      <c r="AD546" t="s">
        <v>74</v>
      </c>
      <c r="AE546" t="s">
        <v>74</v>
      </c>
      <c r="AF546" t="s">
        <v>74</v>
      </c>
      <c r="AG546">
        <v>40</v>
      </c>
      <c r="AH546">
        <v>22</v>
      </c>
      <c r="AI546">
        <v>23</v>
      </c>
      <c r="AJ546">
        <v>1</v>
      </c>
      <c r="AK546">
        <v>4</v>
      </c>
      <c r="AL546" t="s">
        <v>7568</v>
      </c>
      <c r="AM546" t="s">
        <v>7552</v>
      </c>
      <c r="AN546" t="s">
        <v>7553</v>
      </c>
      <c r="AO546" t="s">
        <v>7554</v>
      </c>
      <c r="AP546" t="s">
        <v>74</v>
      </c>
      <c r="AQ546" t="s">
        <v>74</v>
      </c>
      <c r="AR546" t="s">
        <v>7556</v>
      </c>
      <c r="AS546" t="s">
        <v>7557</v>
      </c>
      <c r="AT546" t="s">
        <v>6688</v>
      </c>
      <c r="AU546">
        <v>2001</v>
      </c>
      <c r="AV546">
        <v>74</v>
      </c>
      <c r="AW546">
        <v>2</v>
      </c>
      <c r="AX546" t="s">
        <v>74</v>
      </c>
      <c r="AY546" t="s">
        <v>74</v>
      </c>
      <c r="AZ546" t="s">
        <v>74</v>
      </c>
      <c r="BA546" t="s">
        <v>74</v>
      </c>
      <c r="BB546">
        <v>273</v>
      </c>
      <c r="BC546">
        <v>282</v>
      </c>
      <c r="BD546" t="s">
        <v>74</v>
      </c>
      <c r="BE546" t="s">
        <v>74</v>
      </c>
      <c r="BF546" t="s">
        <v>74</v>
      </c>
      <c r="BG546" t="s">
        <v>74</v>
      </c>
      <c r="BH546" t="s">
        <v>74</v>
      </c>
      <c r="BI546">
        <v>10</v>
      </c>
      <c r="BJ546" t="s">
        <v>209</v>
      </c>
      <c r="BK546" t="s">
        <v>453</v>
      </c>
      <c r="BL546" t="s">
        <v>210</v>
      </c>
      <c r="BM546" t="s">
        <v>7559</v>
      </c>
      <c r="BN546" t="s">
        <v>74</v>
      </c>
      <c r="BO546" t="s">
        <v>74</v>
      </c>
      <c r="BP546" t="s">
        <v>74</v>
      </c>
      <c r="BQ546" t="s">
        <v>74</v>
      </c>
      <c r="BR546" t="s">
        <v>91</v>
      </c>
      <c r="BS546" t="s">
        <v>7569</v>
      </c>
      <c r="BT546" t="str">
        <f>HYPERLINK("https%3A%2F%2Fwww.webofscience.com%2Fwos%2Fwoscc%2Ffull-record%2FWOS:000170178000005","View Full Record in Web of Science")</f>
        <v>View Full Record in Web of Science</v>
      </c>
    </row>
    <row r="547" spans="1:72" x14ac:dyDescent="0.15">
      <c r="A547" t="s">
        <v>72</v>
      </c>
      <c r="B547" t="s">
        <v>7570</v>
      </c>
      <c r="C547" t="s">
        <v>74</v>
      </c>
      <c r="D547" t="s">
        <v>74</v>
      </c>
      <c r="E547" t="s">
        <v>74</v>
      </c>
      <c r="F547" t="s">
        <v>7570</v>
      </c>
      <c r="G547" t="s">
        <v>74</v>
      </c>
      <c r="H547" t="s">
        <v>74</v>
      </c>
      <c r="I547" t="s">
        <v>7571</v>
      </c>
      <c r="J547" t="s">
        <v>7542</v>
      </c>
      <c r="K547" t="s">
        <v>74</v>
      </c>
      <c r="L547" t="s">
        <v>74</v>
      </c>
      <c r="M547" t="s">
        <v>77</v>
      </c>
      <c r="N547" t="s">
        <v>435</v>
      </c>
      <c r="O547" t="s">
        <v>7543</v>
      </c>
      <c r="P547">
        <v>1999</v>
      </c>
      <c r="Q547" t="s">
        <v>7544</v>
      </c>
      <c r="R547" t="s">
        <v>74</v>
      </c>
      <c r="S547" t="s">
        <v>74</v>
      </c>
      <c r="T547" t="s">
        <v>7572</v>
      </c>
      <c r="U547" t="s">
        <v>7573</v>
      </c>
      <c r="V547" t="s">
        <v>7574</v>
      </c>
      <c r="W547" t="s">
        <v>3832</v>
      </c>
      <c r="X547" t="s">
        <v>3833</v>
      </c>
      <c r="Y547" t="s">
        <v>3834</v>
      </c>
      <c r="Z547" t="s">
        <v>74</v>
      </c>
      <c r="AA547" t="s">
        <v>3835</v>
      </c>
      <c r="AB547" t="s">
        <v>74</v>
      </c>
      <c r="AC547" t="s">
        <v>74</v>
      </c>
      <c r="AD547" t="s">
        <v>74</v>
      </c>
      <c r="AE547" t="s">
        <v>74</v>
      </c>
      <c r="AF547" t="s">
        <v>74</v>
      </c>
      <c r="AG547">
        <v>27</v>
      </c>
      <c r="AH547">
        <v>11</v>
      </c>
      <c r="AI547">
        <v>11</v>
      </c>
      <c r="AJ547">
        <v>0</v>
      </c>
      <c r="AK547">
        <v>3</v>
      </c>
      <c r="AL547" t="s">
        <v>7568</v>
      </c>
      <c r="AM547" t="s">
        <v>7552</v>
      </c>
      <c r="AN547" t="s">
        <v>7553</v>
      </c>
      <c r="AO547" t="s">
        <v>7554</v>
      </c>
      <c r="AP547" t="s">
        <v>74</v>
      </c>
      <c r="AQ547" t="s">
        <v>74</v>
      </c>
      <c r="AR547" t="s">
        <v>7556</v>
      </c>
      <c r="AS547" t="s">
        <v>7557</v>
      </c>
      <c r="AT547" t="s">
        <v>6688</v>
      </c>
      <c r="AU547">
        <v>2001</v>
      </c>
      <c r="AV547">
        <v>74</v>
      </c>
      <c r="AW547">
        <v>2</v>
      </c>
      <c r="AX547" t="s">
        <v>74</v>
      </c>
      <c r="AY547" t="s">
        <v>74</v>
      </c>
      <c r="AZ547" t="s">
        <v>74</v>
      </c>
      <c r="BA547" t="s">
        <v>74</v>
      </c>
      <c r="BB547">
        <v>283</v>
      </c>
      <c r="BC547">
        <v>292</v>
      </c>
      <c r="BD547" t="s">
        <v>74</v>
      </c>
      <c r="BE547" t="s">
        <v>7575</v>
      </c>
      <c r="BF547" t="str">
        <f>HYPERLINK("http://dx.doi.org/10.4067/S0716-078X2001000200006","http://dx.doi.org/10.4067/S0716-078X2001000200006")</f>
        <v>http://dx.doi.org/10.4067/S0716-078X2001000200006</v>
      </c>
      <c r="BG547" t="s">
        <v>74</v>
      </c>
      <c r="BH547" t="s">
        <v>74</v>
      </c>
      <c r="BI547">
        <v>10</v>
      </c>
      <c r="BJ547" t="s">
        <v>209</v>
      </c>
      <c r="BK547" t="s">
        <v>453</v>
      </c>
      <c r="BL547" t="s">
        <v>210</v>
      </c>
      <c r="BM547" t="s">
        <v>7559</v>
      </c>
      <c r="BN547" t="s">
        <v>74</v>
      </c>
      <c r="BO547" t="s">
        <v>4311</v>
      </c>
      <c r="BP547" t="s">
        <v>74</v>
      </c>
      <c r="BQ547" t="s">
        <v>74</v>
      </c>
      <c r="BR547" t="s">
        <v>91</v>
      </c>
      <c r="BS547" t="s">
        <v>7576</v>
      </c>
      <c r="BT547" t="str">
        <f>HYPERLINK("https%3A%2F%2Fwww.webofscience.com%2Fwos%2Fwoscc%2Ffull-record%2FWOS:000170178000006","View Full Record in Web of Science")</f>
        <v>View Full Record in Web of Science</v>
      </c>
    </row>
    <row r="548" spans="1:72" x14ac:dyDescent="0.15">
      <c r="A548" t="s">
        <v>72</v>
      </c>
      <c r="B548" t="s">
        <v>7577</v>
      </c>
      <c r="C548" t="s">
        <v>74</v>
      </c>
      <c r="D548" t="s">
        <v>74</v>
      </c>
      <c r="E548" t="s">
        <v>74</v>
      </c>
      <c r="F548" t="s">
        <v>7577</v>
      </c>
      <c r="G548" t="s">
        <v>74</v>
      </c>
      <c r="H548" t="s">
        <v>74</v>
      </c>
      <c r="I548" t="s">
        <v>7578</v>
      </c>
      <c r="J548" t="s">
        <v>7542</v>
      </c>
      <c r="K548" t="s">
        <v>74</v>
      </c>
      <c r="L548" t="s">
        <v>74</v>
      </c>
      <c r="M548" t="s">
        <v>77</v>
      </c>
      <c r="N548" t="s">
        <v>435</v>
      </c>
      <c r="O548" t="s">
        <v>7543</v>
      </c>
      <c r="P548">
        <v>1999</v>
      </c>
      <c r="Q548" t="s">
        <v>7544</v>
      </c>
      <c r="R548" t="s">
        <v>74</v>
      </c>
      <c r="S548" t="s">
        <v>74</v>
      </c>
      <c r="T548" t="s">
        <v>7579</v>
      </c>
      <c r="U548" t="s">
        <v>7580</v>
      </c>
      <c r="V548" t="s">
        <v>7581</v>
      </c>
      <c r="W548" t="s">
        <v>7582</v>
      </c>
      <c r="X548" t="s">
        <v>4908</v>
      </c>
      <c r="Y548" t="s">
        <v>7583</v>
      </c>
      <c r="Z548" t="s">
        <v>74</v>
      </c>
      <c r="AA548" t="s">
        <v>74</v>
      </c>
      <c r="AB548" t="s">
        <v>74</v>
      </c>
      <c r="AC548" t="s">
        <v>74</v>
      </c>
      <c r="AD548" t="s">
        <v>74</v>
      </c>
      <c r="AE548" t="s">
        <v>74</v>
      </c>
      <c r="AF548" t="s">
        <v>74</v>
      </c>
      <c r="AG548">
        <v>75</v>
      </c>
      <c r="AH548">
        <v>5</v>
      </c>
      <c r="AI548">
        <v>5</v>
      </c>
      <c r="AJ548">
        <v>0</v>
      </c>
      <c r="AK548">
        <v>13</v>
      </c>
      <c r="AL548" t="s">
        <v>7568</v>
      </c>
      <c r="AM548" t="s">
        <v>7552</v>
      </c>
      <c r="AN548" t="s">
        <v>7553</v>
      </c>
      <c r="AO548" t="s">
        <v>7554</v>
      </c>
      <c r="AP548" t="s">
        <v>74</v>
      </c>
      <c r="AQ548" t="s">
        <v>74</v>
      </c>
      <c r="AR548" t="s">
        <v>7556</v>
      </c>
      <c r="AS548" t="s">
        <v>7557</v>
      </c>
      <c r="AT548" t="s">
        <v>6688</v>
      </c>
      <c r="AU548">
        <v>2001</v>
      </c>
      <c r="AV548">
        <v>74</v>
      </c>
      <c r="AW548">
        <v>2</v>
      </c>
      <c r="AX548" t="s">
        <v>74</v>
      </c>
      <c r="AY548" t="s">
        <v>74</v>
      </c>
      <c r="AZ548" t="s">
        <v>74</v>
      </c>
      <c r="BA548" t="s">
        <v>74</v>
      </c>
      <c r="BB548">
        <v>293</v>
      </c>
      <c r="BC548">
        <v>311</v>
      </c>
      <c r="BD548" t="s">
        <v>74</v>
      </c>
      <c r="BE548" t="s">
        <v>74</v>
      </c>
      <c r="BF548" t="s">
        <v>74</v>
      </c>
      <c r="BG548" t="s">
        <v>74</v>
      </c>
      <c r="BH548" t="s">
        <v>74</v>
      </c>
      <c r="BI548">
        <v>19</v>
      </c>
      <c r="BJ548" t="s">
        <v>209</v>
      </c>
      <c r="BK548" t="s">
        <v>453</v>
      </c>
      <c r="BL548" t="s">
        <v>210</v>
      </c>
      <c r="BM548" t="s">
        <v>7559</v>
      </c>
      <c r="BN548" t="s">
        <v>74</v>
      </c>
      <c r="BO548" t="s">
        <v>74</v>
      </c>
      <c r="BP548" t="s">
        <v>74</v>
      </c>
      <c r="BQ548" t="s">
        <v>74</v>
      </c>
      <c r="BR548" t="s">
        <v>91</v>
      </c>
      <c r="BS548" t="s">
        <v>7584</v>
      </c>
      <c r="BT548" t="str">
        <f>HYPERLINK("https%3A%2F%2Fwww.webofscience.com%2Fwos%2Fwoscc%2Ffull-record%2FWOS:000170178000007","View Full Record in Web of Science")</f>
        <v>View Full Record in Web of Science</v>
      </c>
    </row>
    <row r="549" spans="1:72" x14ac:dyDescent="0.15">
      <c r="A549" t="s">
        <v>72</v>
      </c>
      <c r="B549" t="s">
        <v>7585</v>
      </c>
      <c r="C549" t="s">
        <v>74</v>
      </c>
      <c r="D549" t="s">
        <v>74</v>
      </c>
      <c r="E549" t="s">
        <v>74</v>
      </c>
      <c r="F549" t="s">
        <v>7585</v>
      </c>
      <c r="G549" t="s">
        <v>74</v>
      </c>
      <c r="H549" t="s">
        <v>74</v>
      </c>
      <c r="I549" t="s">
        <v>7586</v>
      </c>
      <c r="J549" t="s">
        <v>7587</v>
      </c>
      <c r="K549" t="s">
        <v>74</v>
      </c>
      <c r="L549" t="s">
        <v>74</v>
      </c>
      <c r="M549" t="s">
        <v>77</v>
      </c>
      <c r="N549" t="s">
        <v>120</v>
      </c>
      <c r="O549" t="s">
        <v>74</v>
      </c>
      <c r="P549" t="s">
        <v>74</v>
      </c>
      <c r="Q549" t="s">
        <v>74</v>
      </c>
      <c r="R549" t="s">
        <v>74</v>
      </c>
      <c r="S549" t="s">
        <v>74</v>
      </c>
      <c r="T549" t="s">
        <v>74</v>
      </c>
      <c r="U549" t="s">
        <v>7588</v>
      </c>
      <c r="V549" t="s">
        <v>7589</v>
      </c>
      <c r="W549" t="s">
        <v>7590</v>
      </c>
      <c r="X549" t="s">
        <v>7591</v>
      </c>
      <c r="Y549" t="s">
        <v>7592</v>
      </c>
      <c r="Z549" t="s">
        <v>74</v>
      </c>
      <c r="AA549" t="s">
        <v>7593</v>
      </c>
      <c r="AB549" t="s">
        <v>7594</v>
      </c>
      <c r="AC549" t="s">
        <v>74</v>
      </c>
      <c r="AD549" t="s">
        <v>74</v>
      </c>
      <c r="AE549" t="s">
        <v>74</v>
      </c>
      <c r="AF549" t="s">
        <v>74</v>
      </c>
      <c r="AG549">
        <v>71</v>
      </c>
      <c r="AH549">
        <v>32</v>
      </c>
      <c r="AI549">
        <v>32</v>
      </c>
      <c r="AJ549">
        <v>0</v>
      </c>
      <c r="AK549">
        <v>7</v>
      </c>
      <c r="AL549" t="s">
        <v>731</v>
      </c>
      <c r="AM549" t="s">
        <v>732</v>
      </c>
      <c r="AN549" t="s">
        <v>733</v>
      </c>
      <c r="AO549" t="s">
        <v>7595</v>
      </c>
      <c r="AP549" t="s">
        <v>74</v>
      </c>
      <c r="AQ549" t="s">
        <v>74</v>
      </c>
      <c r="AR549" t="s">
        <v>7596</v>
      </c>
      <c r="AS549" t="s">
        <v>7597</v>
      </c>
      <c r="AT549" t="s">
        <v>6688</v>
      </c>
      <c r="AU549">
        <v>2001</v>
      </c>
      <c r="AV549">
        <v>53</v>
      </c>
      <c r="AW549">
        <v>3</v>
      </c>
      <c r="AX549" t="s">
        <v>74</v>
      </c>
      <c r="AY549" t="s">
        <v>74</v>
      </c>
      <c r="AZ549" t="s">
        <v>74</v>
      </c>
      <c r="BA549" t="s">
        <v>74</v>
      </c>
      <c r="BB549">
        <v>306</v>
      </c>
      <c r="BC549">
        <v>321</v>
      </c>
      <c r="BD549" t="s">
        <v>74</v>
      </c>
      <c r="BE549" t="s">
        <v>7598</v>
      </c>
      <c r="BF549" t="str">
        <f>HYPERLINK("http://dx.doi.org/10.1034/j.1600-0889.2001.01155.x","http://dx.doi.org/10.1034/j.1600-0889.2001.01155.x")</f>
        <v>http://dx.doi.org/10.1034/j.1600-0889.2001.01155.x</v>
      </c>
      <c r="BG549" t="s">
        <v>74</v>
      </c>
      <c r="BH549" t="s">
        <v>74</v>
      </c>
      <c r="BI549">
        <v>16</v>
      </c>
      <c r="BJ549" t="s">
        <v>538</v>
      </c>
      <c r="BK549" t="s">
        <v>88</v>
      </c>
      <c r="BL549" t="s">
        <v>538</v>
      </c>
      <c r="BM549" t="s">
        <v>7599</v>
      </c>
      <c r="BN549" t="s">
        <v>74</v>
      </c>
      <c r="BO549" t="s">
        <v>74</v>
      </c>
      <c r="BP549" t="s">
        <v>74</v>
      </c>
      <c r="BQ549" t="s">
        <v>74</v>
      </c>
      <c r="BR549" t="s">
        <v>91</v>
      </c>
      <c r="BS549" t="s">
        <v>7600</v>
      </c>
      <c r="BT549" t="str">
        <f>HYPERLINK("https%3A%2F%2Fwww.webofscience.com%2Fwos%2Fwoscc%2Ffull-record%2FWOS:000169810800007","View Full Record in Web of Science")</f>
        <v>View Full Record in Web of Science</v>
      </c>
    </row>
    <row r="550" spans="1:72" x14ac:dyDescent="0.15">
      <c r="A550" t="s">
        <v>72</v>
      </c>
      <c r="B550" t="s">
        <v>7601</v>
      </c>
      <c r="C550" t="s">
        <v>74</v>
      </c>
      <c r="D550" t="s">
        <v>74</v>
      </c>
      <c r="E550" t="s">
        <v>74</v>
      </c>
      <c r="F550" t="s">
        <v>7601</v>
      </c>
      <c r="G550" t="s">
        <v>74</v>
      </c>
      <c r="H550" t="s">
        <v>74</v>
      </c>
      <c r="I550" t="s">
        <v>7602</v>
      </c>
      <c r="J550" t="s">
        <v>7603</v>
      </c>
      <c r="K550" t="s">
        <v>74</v>
      </c>
      <c r="L550" t="s">
        <v>74</v>
      </c>
      <c r="M550" t="s">
        <v>77</v>
      </c>
      <c r="N550" t="s">
        <v>3091</v>
      </c>
      <c r="O550" t="s">
        <v>74</v>
      </c>
      <c r="P550" t="s">
        <v>74</v>
      </c>
      <c r="Q550" t="s">
        <v>74</v>
      </c>
      <c r="R550" t="s">
        <v>74</v>
      </c>
      <c r="S550" t="s">
        <v>74</v>
      </c>
      <c r="T550" t="s">
        <v>74</v>
      </c>
      <c r="U550" t="s">
        <v>7604</v>
      </c>
      <c r="V550" t="s">
        <v>74</v>
      </c>
      <c r="W550" t="s">
        <v>1103</v>
      </c>
      <c r="X550" t="s">
        <v>462</v>
      </c>
      <c r="Y550" t="s">
        <v>7605</v>
      </c>
      <c r="Z550" t="s">
        <v>74</v>
      </c>
      <c r="AA550" t="s">
        <v>74</v>
      </c>
      <c r="AB550" t="s">
        <v>74</v>
      </c>
      <c r="AC550" t="s">
        <v>74</v>
      </c>
      <c r="AD550" t="s">
        <v>74</v>
      </c>
      <c r="AE550" t="s">
        <v>74</v>
      </c>
      <c r="AF550" t="s">
        <v>74</v>
      </c>
      <c r="AG550">
        <v>14</v>
      </c>
      <c r="AH550">
        <v>5</v>
      </c>
      <c r="AI550">
        <v>5</v>
      </c>
      <c r="AJ550">
        <v>0</v>
      </c>
      <c r="AK550">
        <v>6</v>
      </c>
      <c r="AL550" t="s">
        <v>7606</v>
      </c>
      <c r="AM550" t="s">
        <v>683</v>
      </c>
      <c r="AN550" t="s">
        <v>7607</v>
      </c>
      <c r="AO550" t="s">
        <v>7608</v>
      </c>
      <c r="AP550" t="s">
        <v>74</v>
      </c>
      <c r="AQ550" t="s">
        <v>74</v>
      </c>
      <c r="AR550" t="s">
        <v>7609</v>
      </c>
      <c r="AS550" t="s">
        <v>7610</v>
      </c>
      <c r="AT550" t="s">
        <v>6688</v>
      </c>
      <c r="AU550">
        <v>2001</v>
      </c>
      <c r="AV550">
        <v>16</v>
      </c>
      <c r="AW550">
        <v>6</v>
      </c>
      <c r="AX550" t="s">
        <v>74</v>
      </c>
      <c r="AY550" t="s">
        <v>74</v>
      </c>
      <c r="AZ550" t="s">
        <v>74</v>
      </c>
      <c r="BA550" t="s">
        <v>74</v>
      </c>
      <c r="BB550">
        <v>281</v>
      </c>
      <c r="BC550">
        <v>282</v>
      </c>
      <c r="BD550" t="s">
        <v>74</v>
      </c>
      <c r="BE550" t="s">
        <v>7611</v>
      </c>
      <c r="BF550" t="str">
        <f>HYPERLINK("http://dx.doi.org/10.1016/S0169-5347(01)02158-9","http://dx.doi.org/10.1016/S0169-5347(01)02158-9")</f>
        <v>http://dx.doi.org/10.1016/S0169-5347(01)02158-9</v>
      </c>
      <c r="BG550" t="s">
        <v>74</v>
      </c>
      <c r="BH550" t="s">
        <v>74</v>
      </c>
      <c r="BI550">
        <v>2</v>
      </c>
      <c r="BJ550" t="s">
        <v>7612</v>
      </c>
      <c r="BK550" t="s">
        <v>88</v>
      </c>
      <c r="BL550" t="s">
        <v>7613</v>
      </c>
      <c r="BM550" t="s">
        <v>7614</v>
      </c>
      <c r="BN550" t="s">
        <v>74</v>
      </c>
      <c r="BO550" t="s">
        <v>74</v>
      </c>
      <c r="BP550" t="s">
        <v>74</v>
      </c>
      <c r="BQ550" t="s">
        <v>74</v>
      </c>
      <c r="BR550" t="s">
        <v>91</v>
      </c>
      <c r="BS550" t="s">
        <v>7615</v>
      </c>
      <c r="BT550" t="str">
        <f>HYPERLINK("https%3A%2F%2Fwww.webofscience.com%2Fwos%2Fwoscc%2Ffull-record%2FWOS:000168721800008","View Full Record in Web of Science")</f>
        <v>View Full Record in Web of Science</v>
      </c>
    </row>
    <row r="551" spans="1:72" x14ac:dyDescent="0.15">
      <c r="A551" t="s">
        <v>72</v>
      </c>
      <c r="B551" t="s">
        <v>7616</v>
      </c>
      <c r="C551" t="s">
        <v>74</v>
      </c>
      <c r="D551" t="s">
        <v>74</v>
      </c>
      <c r="E551" t="s">
        <v>74</v>
      </c>
      <c r="F551" t="s">
        <v>7616</v>
      </c>
      <c r="G551" t="s">
        <v>74</v>
      </c>
      <c r="H551" t="s">
        <v>74</v>
      </c>
      <c r="I551" t="s">
        <v>7617</v>
      </c>
      <c r="J551" t="s">
        <v>695</v>
      </c>
      <c r="K551" t="s">
        <v>74</v>
      </c>
      <c r="L551" t="s">
        <v>74</v>
      </c>
      <c r="M551" t="s">
        <v>77</v>
      </c>
      <c r="N551" t="s">
        <v>120</v>
      </c>
      <c r="O551" t="s">
        <v>74</v>
      </c>
      <c r="P551" t="s">
        <v>74</v>
      </c>
      <c r="Q551" t="s">
        <v>74</v>
      </c>
      <c r="R551" t="s">
        <v>74</v>
      </c>
      <c r="S551" t="s">
        <v>74</v>
      </c>
      <c r="T551" t="s">
        <v>74</v>
      </c>
      <c r="U551" t="s">
        <v>7618</v>
      </c>
      <c r="V551" t="s">
        <v>7619</v>
      </c>
      <c r="W551" t="s">
        <v>7620</v>
      </c>
      <c r="X551" t="s">
        <v>7621</v>
      </c>
      <c r="Y551" t="s">
        <v>7622</v>
      </c>
      <c r="Z551" t="s">
        <v>74</v>
      </c>
      <c r="AA551" t="s">
        <v>7623</v>
      </c>
      <c r="AB551" t="s">
        <v>7624</v>
      </c>
      <c r="AC551" t="s">
        <v>74</v>
      </c>
      <c r="AD551" t="s">
        <v>74</v>
      </c>
      <c r="AE551" t="s">
        <v>74</v>
      </c>
      <c r="AF551" t="s">
        <v>74</v>
      </c>
      <c r="AG551">
        <v>30</v>
      </c>
      <c r="AH551">
        <v>102</v>
      </c>
      <c r="AI551">
        <v>111</v>
      </c>
      <c r="AJ551">
        <v>0</v>
      </c>
      <c r="AK551">
        <v>25</v>
      </c>
      <c r="AL551" t="s">
        <v>700</v>
      </c>
      <c r="AM551" t="s">
        <v>683</v>
      </c>
      <c r="AN551" t="s">
        <v>701</v>
      </c>
      <c r="AO551" t="s">
        <v>702</v>
      </c>
      <c r="AP551" t="s">
        <v>74</v>
      </c>
      <c r="AQ551" t="s">
        <v>74</v>
      </c>
      <c r="AR551" t="s">
        <v>695</v>
      </c>
      <c r="AS551" t="s">
        <v>703</v>
      </c>
      <c r="AT551" t="s">
        <v>7625</v>
      </c>
      <c r="AU551">
        <v>2001</v>
      </c>
      <c r="AV551">
        <v>411</v>
      </c>
      <c r="AW551">
        <v>6837</v>
      </c>
      <c r="AX551" t="s">
        <v>74</v>
      </c>
      <c r="AY551" t="s">
        <v>74</v>
      </c>
      <c r="AZ551" t="s">
        <v>74</v>
      </c>
      <c r="BA551" t="s">
        <v>74</v>
      </c>
      <c r="BB551">
        <v>568</v>
      </c>
      <c r="BC551">
        <v>571</v>
      </c>
      <c r="BD551" t="s">
        <v>74</v>
      </c>
      <c r="BE551" t="s">
        <v>7626</v>
      </c>
      <c r="BF551" t="str">
        <f>HYPERLINK("http://dx.doi.org/10.1038/35079043","http://dx.doi.org/10.1038/35079043")</f>
        <v>http://dx.doi.org/10.1038/35079043</v>
      </c>
      <c r="BG551" t="s">
        <v>74</v>
      </c>
      <c r="BH551" t="s">
        <v>74</v>
      </c>
      <c r="BI551">
        <v>5</v>
      </c>
      <c r="BJ551" t="s">
        <v>575</v>
      </c>
      <c r="BK551" t="s">
        <v>88</v>
      </c>
      <c r="BL551" t="s">
        <v>576</v>
      </c>
      <c r="BM551" t="s">
        <v>7627</v>
      </c>
      <c r="BN551">
        <v>11385567</v>
      </c>
      <c r="BO551" t="s">
        <v>74</v>
      </c>
      <c r="BP551" t="s">
        <v>74</v>
      </c>
      <c r="BQ551" t="s">
        <v>74</v>
      </c>
      <c r="BR551" t="s">
        <v>91</v>
      </c>
      <c r="BS551" t="s">
        <v>7628</v>
      </c>
      <c r="BT551" t="str">
        <f>HYPERLINK("https%3A%2F%2Fwww.webofscience.com%2Fwos%2Fwoscc%2Ffull-record%2FWOS:000168982500046","View Full Record in Web of Science")</f>
        <v>View Full Record in Web of Science</v>
      </c>
    </row>
    <row r="552" spans="1:72" x14ac:dyDescent="0.15">
      <c r="A552" t="s">
        <v>72</v>
      </c>
      <c r="B552" t="s">
        <v>7629</v>
      </c>
      <c r="C552" t="s">
        <v>74</v>
      </c>
      <c r="D552" t="s">
        <v>74</v>
      </c>
      <c r="E552" t="s">
        <v>74</v>
      </c>
      <c r="F552" t="s">
        <v>7629</v>
      </c>
      <c r="G552" t="s">
        <v>74</v>
      </c>
      <c r="H552" t="s">
        <v>74</v>
      </c>
      <c r="I552" t="s">
        <v>7630</v>
      </c>
      <c r="J552" t="s">
        <v>478</v>
      </c>
      <c r="K552" t="s">
        <v>74</v>
      </c>
      <c r="L552" t="s">
        <v>74</v>
      </c>
      <c r="M552" t="s">
        <v>77</v>
      </c>
      <c r="N552" t="s">
        <v>120</v>
      </c>
      <c r="O552" t="s">
        <v>74</v>
      </c>
      <c r="P552" t="s">
        <v>74</v>
      </c>
      <c r="Q552" t="s">
        <v>74</v>
      </c>
      <c r="R552" t="s">
        <v>74</v>
      </c>
      <c r="S552" t="s">
        <v>74</v>
      </c>
      <c r="T552" t="s">
        <v>7631</v>
      </c>
      <c r="U552" t="s">
        <v>7632</v>
      </c>
      <c r="V552" t="s">
        <v>7633</v>
      </c>
      <c r="W552" t="s">
        <v>7634</v>
      </c>
      <c r="X552" t="s">
        <v>7635</v>
      </c>
      <c r="Y552" t="s">
        <v>7636</v>
      </c>
      <c r="Z552" t="s">
        <v>74</v>
      </c>
      <c r="AA552" t="s">
        <v>7637</v>
      </c>
      <c r="AB552" t="s">
        <v>7638</v>
      </c>
      <c r="AC552" t="s">
        <v>74</v>
      </c>
      <c r="AD552" t="s">
        <v>74</v>
      </c>
      <c r="AE552" t="s">
        <v>74</v>
      </c>
      <c r="AF552" t="s">
        <v>74</v>
      </c>
      <c r="AG552">
        <v>48</v>
      </c>
      <c r="AH552">
        <v>16</v>
      </c>
      <c r="AI552">
        <v>17</v>
      </c>
      <c r="AJ552">
        <v>0</v>
      </c>
      <c r="AK552">
        <v>7</v>
      </c>
      <c r="AL552" t="s">
        <v>488</v>
      </c>
      <c r="AM552" t="s">
        <v>350</v>
      </c>
      <c r="AN552" t="s">
        <v>489</v>
      </c>
      <c r="AO552" t="s">
        <v>490</v>
      </c>
      <c r="AP552" t="s">
        <v>74</v>
      </c>
      <c r="AQ552" t="s">
        <v>74</v>
      </c>
      <c r="AR552" t="s">
        <v>492</v>
      </c>
      <c r="AS552" t="s">
        <v>493</v>
      </c>
      <c r="AT552" t="s">
        <v>7639</v>
      </c>
      <c r="AU552">
        <v>2001</v>
      </c>
      <c r="AV552">
        <v>188</v>
      </c>
      <c r="AW552" t="s">
        <v>495</v>
      </c>
      <c r="AX552" t="s">
        <v>74</v>
      </c>
      <c r="AY552" t="s">
        <v>74</v>
      </c>
      <c r="AZ552" t="s">
        <v>74</v>
      </c>
      <c r="BA552" t="s">
        <v>74</v>
      </c>
      <c r="BB552">
        <v>91</v>
      </c>
      <c r="BC552">
        <v>105</v>
      </c>
      <c r="BD552" t="s">
        <v>74</v>
      </c>
      <c r="BE552" t="s">
        <v>7640</v>
      </c>
      <c r="BF552" t="str">
        <f>HYPERLINK("http://dx.doi.org/10.1016/S0012-821X(01)00326-0","http://dx.doi.org/10.1016/S0012-821X(01)00326-0")</f>
        <v>http://dx.doi.org/10.1016/S0012-821X(01)00326-0</v>
      </c>
      <c r="BG552" t="s">
        <v>74</v>
      </c>
      <c r="BH552" t="s">
        <v>74</v>
      </c>
      <c r="BI552">
        <v>15</v>
      </c>
      <c r="BJ552" t="s">
        <v>388</v>
      </c>
      <c r="BK552" t="s">
        <v>88</v>
      </c>
      <c r="BL552" t="s">
        <v>388</v>
      </c>
      <c r="BM552" t="s">
        <v>7641</v>
      </c>
      <c r="BN552" t="s">
        <v>74</v>
      </c>
      <c r="BO552" t="s">
        <v>74</v>
      </c>
      <c r="BP552" t="s">
        <v>74</v>
      </c>
      <c r="BQ552" t="s">
        <v>74</v>
      </c>
      <c r="BR552" t="s">
        <v>91</v>
      </c>
      <c r="BS552" t="s">
        <v>7642</v>
      </c>
      <c r="BT552" t="str">
        <f>HYPERLINK("https%3A%2F%2Fwww.webofscience.com%2Fwos%2Fwoscc%2Ffull-record%2FWOS:000169053800008","View Full Record in Web of Science")</f>
        <v>View Full Record in Web of Science</v>
      </c>
    </row>
    <row r="553" spans="1:72" x14ac:dyDescent="0.15">
      <c r="A553" t="s">
        <v>72</v>
      </c>
      <c r="B553" t="s">
        <v>7643</v>
      </c>
      <c r="C553" t="s">
        <v>74</v>
      </c>
      <c r="D553" t="s">
        <v>74</v>
      </c>
      <c r="E553" t="s">
        <v>74</v>
      </c>
      <c r="F553" t="s">
        <v>7643</v>
      </c>
      <c r="G553" t="s">
        <v>74</v>
      </c>
      <c r="H553" t="s">
        <v>74</v>
      </c>
      <c r="I553" t="s">
        <v>7644</v>
      </c>
      <c r="J553" t="s">
        <v>478</v>
      </c>
      <c r="K553" t="s">
        <v>74</v>
      </c>
      <c r="L553" t="s">
        <v>74</v>
      </c>
      <c r="M553" t="s">
        <v>77</v>
      </c>
      <c r="N553" t="s">
        <v>120</v>
      </c>
      <c r="O553" t="s">
        <v>74</v>
      </c>
      <c r="P553" t="s">
        <v>74</v>
      </c>
      <c r="Q553" t="s">
        <v>74</v>
      </c>
      <c r="R553" t="s">
        <v>74</v>
      </c>
      <c r="S553" t="s">
        <v>74</v>
      </c>
      <c r="T553" t="s">
        <v>7645</v>
      </c>
      <c r="U553" t="s">
        <v>7646</v>
      </c>
      <c r="V553" t="s">
        <v>7647</v>
      </c>
      <c r="W553" t="s">
        <v>461</v>
      </c>
      <c r="X553" t="s">
        <v>462</v>
      </c>
      <c r="Y553" t="s">
        <v>7648</v>
      </c>
      <c r="Z553" t="s">
        <v>74</v>
      </c>
      <c r="AA553" t="s">
        <v>74</v>
      </c>
      <c r="AB553" t="s">
        <v>74</v>
      </c>
      <c r="AC553" t="s">
        <v>74</v>
      </c>
      <c r="AD553" t="s">
        <v>74</v>
      </c>
      <c r="AE553" t="s">
        <v>74</v>
      </c>
      <c r="AF553" t="s">
        <v>74</v>
      </c>
      <c r="AG553">
        <v>20</v>
      </c>
      <c r="AH553">
        <v>1</v>
      </c>
      <c r="AI553">
        <v>1</v>
      </c>
      <c r="AJ553">
        <v>0</v>
      </c>
      <c r="AK553">
        <v>1</v>
      </c>
      <c r="AL553" t="s">
        <v>488</v>
      </c>
      <c r="AM553" t="s">
        <v>350</v>
      </c>
      <c r="AN553" t="s">
        <v>489</v>
      </c>
      <c r="AO553" t="s">
        <v>490</v>
      </c>
      <c r="AP553" t="s">
        <v>74</v>
      </c>
      <c r="AQ553" t="s">
        <v>74</v>
      </c>
      <c r="AR553" t="s">
        <v>492</v>
      </c>
      <c r="AS553" t="s">
        <v>493</v>
      </c>
      <c r="AT553" t="s">
        <v>7639</v>
      </c>
      <c r="AU553">
        <v>2001</v>
      </c>
      <c r="AV553">
        <v>188</v>
      </c>
      <c r="AW553" t="s">
        <v>495</v>
      </c>
      <c r="AX553" t="s">
        <v>74</v>
      </c>
      <c r="AY553" t="s">
        <v>74</v>
      </c>
      <c r="AZ553" t="s">
        <v>74</v>
      </c>
      <c r="BA553" t="s">
        <v>74</v>
      </c>
      <c r="BB553">
        <v>221</v>
      </c>
      <c r="BC553">
        <v>227</v>
      </c>
      <c r="BD553" t="s">
        <v>74</v>
      </c>
      <c r="BE553" t="s">
        <v>7649</v>
      </c>
      <c r="BF553" t="str">
        <f>HYPERLINK("http://dx.doi.org/10.1016/S0012-821X(01)00318-1","http://dx.doi.org/10.1016/S0012-821X(01)00318-1")</f>
        <v>http://dx.doi.org/10.1016/S0012-821X(01)00318-1</v>
      </c>
      <c r="BG553" t="s">
        <v>74</v>
      </c>
      <c r="BH553" t="s">
        <v>74</v>
      </c>
      <c r="BI553">
        <v>7</v>
      </c>
      <c r="BJ553" t="s">
        <v>388</v>
      </c>
      <c r="BK553" t="s">
        <v>88</v>
      </c>
      <c r="BL553" t="s">
        <v>388</v>
      </c>
      <c r="BM553" t="s">
        <v>7641</v>
      </c>
      <c r="BN553" t="s">
        <v>74</v>
      </c>
      <c r="BO553" t="s">
        <v>74</v>
      </c>
      <c r="BP553" t="s">
        <v>74</v>
      </c>
      <c r="BQ553" t="s">
        <v>74</v>
      </c>
      <c r="BR553" t="s">
        <v>91</v>
      </c>
      <c r="BS553" t="s">
        <v>7650</v>
      </c>
      <c r="BT553" t="str">
        <f>HYPERLINK("https%3A%2F%2Fwww.webofscience.com%2Fwos%2Fwoscc%2Ffull-record%2FWOS:000169053800017","View Full Record in Web of Science")</f>
        <v>View Full Record in Web of Science</v>
      </c>
    </row>
    <row r="554" spans="1:72" x14ac:dyDescent="0.15">
      <c r="A554" t="s">
        <v>72</v>
      </c>
      <c r="B554" t="s">
        <v>7651</v>
      </c>
      <c r="C554" t="s">
        <v>74</v>
      </c>
      <c r="D554" t="s">
        <v>74</v>
      </c>
      <c r="E554" t="s">
        <v>74</v>
      </c>
      <c r="F554" t="s">
        <v>7651</v>
      </c>
      <c r="G554" t="s">
        <v>74</v>
      </c>
      <c r="H554" t="s">
        <v>74</v>
      </c>
      <c r="I554" t="s">
        <v>7652</v>
      </c>
      <c r="J554" t="s">
        <v>522</v>
      </c>
      <c r="K554" t="s">
        <v>74</v>
      </c>
      <c r="L554" t="s">
        <v>74</v>
      </c>
      <c r="M554" t="s">
        <v>77</v>
      </c>
      <c r="N554" t="s">
        <v>120</v>
      </c>
      <c r="O554" t="s">
        <v>74</v>
      </c>
      <c r="P554" t="s">
        <v>74</v>
      </c>
      <c r="Q554" t="s">
        <v>74</v>
      </c>
      <c r="R554" t="s">
        <v>74</v>
      </c>
      <c r="S554" t="s">
        <v>74</v>
      </c>
      <c r="T554" t="s">
        <v>74</v>
      </c>
      <c r="U554" t="s">
        <v>7653</v>
      </c>
      <c r="V554" t="s">
        <v>7654</v>
      </c>
      <c r="W554" t="s">
        <v>7655</v>
      </c>
      <c r="X554" t="s">
        <v>7656</v>
      </c>
      <c r="Y554" t="s">
        <v>7657</v>
      </c>
      <c r="Z554" t="s">
        <v>74</v>
      </c>
      <c r="AA554" t="s">
        <v>7658</v>
      </c>
      <c r="AB554" t="s">
        <v>7659</v>
      </c>
      <c r="AC554" t="s">
        <v>74</v>
      </c>
      <c r="AD554" t="s">
        <v>74</v>
      </c>
      <c r="AE554" t="s">
        <v>74</v>
      </c>
      <c r="AF554" t="s">
        <v>74</v>
      </c>
      <c r="AG554">
        <v>44</v>
      </c>
      <c r="AH554">
        <v>44</v>
      </c>
      <c r="AI554">
        <v>48</v>
      </c>
      <c r="AJ554">
        <v>0</v>
      </c>
      <c r="AK554">
        <v>2</v>
      </c>
      <c r="AL554" t="s">
        <v>149</v>
      </c>
      <c r="AM554" t="s">
        <v>150</v>
      </c>
      <c r="AN554" t="s">
        <v>151</v>
      </c>
      <c r="AO554" t="s">
        <v>4366</v>
      </c>
      <c r="AP554" t="s">
        <v>74</v>
      </c>
      <c r="AQ554" t="s">
        <v>74</v>
      </c>
      <c r="AR554" t="s">
        <v>533</v>
      </c>
      <c r="AS554" t="s">
        <v>534</v>
      </c>
      <c r="AT554" t="s">
        <v>7660</v>
      </c>
      <c r="AU554">
        <v>2001</v>
      </c>
      <c r="AV554">
        <v>106</v>
      </c>
      <c r="AW554" t="s">
        <v>7661</v>
      </c>
      <c r="AX554" t="s">
        <v>74</v>
      </c>
      <c r="AY554" t="s">
        <v>74</v>
      </c>
      <c r="AZ554" t="s">
        <v>74</v>
      </c>
      <c r="BA554" t="s">
        <v>74</v>
      </c>
      <c r="BB554">
        <v>10187</v>
      </c>
      <c r="BC554">
        <v>10203</v>
      </c>
      <c r="BD554" t="s">
        <v>74</v>
      </c>
      <c r="BE554" t="s">
        <v>7662</v>
      </c>
      <c r="BF554" t="str">
        <f>HYPERLINK("http://dx.doi.org/10.1029/2000JD900811","http://dx.doi.org/10.1029/2000JD900811")</f>
        <v>http://dx.doi.org/10.1029/2000JD900811</v>
      </c>
      <c r="BG554" t="s">
        <v>74</v>
      </c>
      <c r="BH554" t="s">
        <v>74</v>
      </c>
      <c r="BI554">
        <v>17</v>
      </c>
      <c r="BJ554" t="s">
        <v>538</v>
      </c>
      <c r="BK554" t="s">
        <v>88</v>
      </c>
      <c r="BL554" t="s">
        <v>538</v>
      </c>
      <c r="BM554" t="s">
        <v>7663</v>
      </c>
      <c r="BN554" t="s">
        <v>74</v>
      </c>
      <c r="BO554" t="s">
        <v>171</v>
      </c>
      <c r="BP554" t="s">
        <v>74</v>
      </c>
      <c r="BQ554" t="s">
        <v>74</v>
      </c>
      <c r="BR554" t="s">
        <v>91</v>
      </c>
      <c r="BS554" t="s">
        <v>7664</v>
      </c>
      <c r="BT554" t="str">
        <f>HYPERLINK("https%3A%2F%2Fwww.webofscience.com%2Fwos%2Fwoscc%2Ffull-record%2FWOS:000168839900005","View Full Record in Web of Science")</f>
        <v>View Full Record in Web of Science</v>
      </c>
    </row>
    <row r="555" spans="1:72" x14ac:dyDescent="0.15">
      <c r="A555" t="s">
        <v>72</v>
      </c>
      <c r="B555" t="s">
        <v>7665</v>
      </c>
      <c r="C555" t="s">
        <v>74</v>
      </c>
      <c r="D555" t="s">
        <v>74</v>
      </c>
      <c r="E555" t="s">
        <v>74</v>
      </c>
      <c r="F555" t="s">
        <v>7665</v>
      </c>
      <c r="G555" t="s">
        <v>74</v>
      </c>
      <c r="H555" t="s">
        <v>74</v>
      </c>
      <c r="I555" t="s">
        <v>7666</v>
      </c>
      <c r="J555" t="s">
        <v>7667</v>
      </c>
      <c r="K555" t="s">
        <v>74</v>
      </c>
      <c r="L555" t="s">
        <v>74</v>
      </c>
      <c r="M555" t="s">
        <v>77</v>
      </c>
      <c r="N555" t="s">
        <v>120</v>
      </c>
      <c r="O555" t="s">
        <v>74</v>
      </c>
      <c r="P555" t="s">
        <v>74</v>
      </c>
      <c r="Q555" t="s">
        <v>74</v>
      </c>
      <c r="R555" t="s">
        <v>74</v>
      </c>
      <c r="S555" t="s">
        <v>74</v>
      </c>
      <c r="T555" t="s">
        <v>74</v>
      </c>
      <c r="U555" t="s">
        <v>7668</v>
      </c>
      <c r="V555" t="s">
        <v>7669</v>
      </c>
      <c r="W555" t="s">
        <v>7670</v>
      </c>
      <c r="X555" t="s">
        <v>681</v>
      </c>
      <c r="Y555" t="s">
        <v>7671</v>
      </c>
      <c r="Z555" t="s">
        <v>74</v>
      </c>
      <c r="AA555" t="s">
        <v>74</v>
      </c>
      <c r="AB555" t="s">
        <v>74</v>
      </c>
      <c r="AC555" t="s">
        <v>74</v>
      </c>
      <c r="AD555" t="s">
        <v>74</v>
      </c>
      <c r="AE555" t="s">
        <v>74</v>
      </c>
      <c r="AF555" t="s">
        <v>74</v>
      </c>
      <c r="AG555">
        <v>7</v>
      </c>
      <c r="AH555">
        <v>3</v>
      </c>
      <c r="AI555">
        <v>3</v>
      </c>
      <c r="AJ555">
        <v>0</v>
      </c>
      <c r="AK555">
        <v>3</v>
      </c>
      <c r="AL555" t="s">
        <v>7672</v>
      </c>
      <c r="AM555" t="s">
        <v>7673</v>
      </c>
      <c r="AN555" t="s">
        <v>7674</v>
      </c>
      <c r="AO555" t="s">
        <v>7675</v>
      </c>
      <c r="AP555" t="s">
        <v>74</v>
      </c>
      <c r="AQ555" t="s">
        <v>74</v>
      </c>
      <c r="AR555" t="s">
        <v>7676</v>
      </c>
      <c r="AS555" t="s">
        <v>7677</v>
      </c>
      <c r="AT555" t="s">
        <v>7678</v>
      </c>
      <c r="AU555">
        <v>2001</v>
      </c>
      <c r="AV555">
        <v>80</v>
      </c>
      <c r="AW555">
        <v>10</v>
      </c>
      <c r="AX555" t="s">
        <v>74</v>
      </c>
      <c r="AY555" t="s">
        <v>74</v>
      </c>
      <c r="AZ555" t="s">
        <v>74</v>
      </c>
      <c r="BA555" t="s">
        <v>74</v>
      </c>
      <c r="BB555">
        <v>1319</v>
      </c>
      <c r="BC555">
        <v>1322</v>
      </c>
      <c r="BD555" t="s">
        <v>74</v>
      </c>
      <c r="BE555" t="s">
        <v>74</v>
      </c>
      <c r="BF555" t="s">
        <v>74</v>
      </c>
      <c r="BG555" t="s">
        <v>74</v>
      </c>
      <c r="BH555" t="s">
        <v>74</v>
      </c>
      <c r="BI555">
        <v>4</v>
      </c>
      <c r="BJ555" t="s">
        <v>575</v>
      </c>
      <c r="BK555" t="s">
        <v>88</v>
      </c>
      <c r="BL555" t="s">
        <v>576</v>
      </c>
      <c r="BM555" t="s">
        <v>7679</v>
      </c>
      <c r="BN555" t="s">
        <v>74</v>
      </c>
      <c r="BO555" t="s">
        <v>74</v>
      </c>
      <c r="BP555" t="s">
        <v>74</v>
      </c>
      <c r="BQ555" t="s">
        <v>74</v>
      </c>
      <c r="BR555" t="s">
        <v>91</v>
      </c>
      <c r="BS555" t="s">
        <v>7680</v>
      </c>
      <c r="BT555" t="str">
        <f>HYPERLINK("https%3A%2F%2Fwww.webofscience.com%2Fwos%2Fwoscc%2Ffull-record%2FWOS:000169048300028","View Full Record in Web of Science")</f>
        <v>View Full Record in Web of Science</v>
      </c>
    </row>
    <row r="556" spans="1:72" x14ac:dyDescent="0.15">
      <c r="A556" t="s">
        <v>72</v>
      </c>
      <c r="B556" t="s">
        <v>7681</v>
      </c>
      <c r="C556" t="s">
        <v>74</v>
      </c>
      <c r="D556" t="s">
        <v>74</v>
      </c>
      <c r="E556" t="s">
        <v>74</v>
      </c>
      <c r="F556" t="s">
        <v>7681</v>
      </c>
      <c r="G556" t="s">
        <v>74</v>
      </c>
      <c r="H556" t="s">
        <v>74</v>
      </c>
      <c r="I556" t="s">
        <v>7682</v>
      </c>
      <c r="J556" t="s">
        <v>7683</v>
      </c>
      <c r="K556" t="s">
        <v>74</v>
      </c>
      <c r="L556" t="s">
        <v>74</v>
      </c>
      <c r="M556" t="s">
        <v>77</v>
      </c>
      <c r="N556" t="s">
        <v>120</v>
      </c>
      <c r="O556" t="s">
        <v>74</v>
      </c>
      <c r="P556" t="s">
        <v>74</v>
      </c>
      <c r="Q556" t="s">
        <v>74</v>
      </c>
      <c r="R556" t="s">
        <v>74</v>
      </c>
      <c r="S556" t="s">
        <v>74</v>
      </c>
      <c r="T556" t="s">
        <v>74</v>
      </c>
      <c r="U556" t="s">
        <v>7684</v>
      </c>
      <c r="V556" t="s">
        <v>7685</v>
      </c>
      <c r="W556" t="s">
        <v>7686</v>
      </c>
      <c r="X556" t="s">
        <v>7687</v>
      </c>
      <c r="Y556" t="s">
        <v>7688</v>
      </c>
      <c r="Z556" t="s">
        <v>74</v>
      </c>
      <c r="AA556" t="s">
        <v>7689</v>
      </c>
      <c r="AB556" t="s">
        <v>74</v>
      </c>
      <c r="AC556" t="s">
        <v>74</v>
      </c>
      <c r="AD556" t="s">
        <v>74</v>
      </c>
      <c r="AE556" t="s">
        <v>74</v>
      </c>
      <c r="AF556" t="s">
        <v>74</v>
      </c>
      <c r="AG556">
        <v>26</v>
      </c>
      <c r="AH556">
        <v>12</v>
      </c>
      <c r="AI556">
        <v>15</v>
      </c>
      <c r="AJ556">
        <v>0</v>
      </c>
      <c r="AK556">
        <v>8</v>
      </c>
      <c r="AL556" t="s">
        <v>7690</v>
      </c>
      <c r="AM556" t="s">
        <v>150</v>
      </c>
      <c r="AN556" t="s">
        <v>7691</v>
      </c>
      <c r="AO556" t="s">
        <v>7692</v>
      </c>
      <c r="AP556" t="s">
        <v>7693</v>
      </c>
      <c r="AQ556" t="s">
        <v>74</v>
      </c>
      <c r="AR556" t="s">
        <v>7694</v>
      </c>
      <c r="AS556" t="s">
        <v>7695</v>
      </c>
      <c r="AT556" t="s">
        <v>7678</v>
      </c>
      <c r="AU556">
        <v>2001</v>
      </c>
      <c r="AV556">
        <v>114</v>
      </c>
      <c r="AW556">
        <v>2</v>
      </c>
      <c r="AX556" t="s">
        <v>74</v>
      </c>
      <c r="AY556" t="s">
        <v>74</v>
      </c>
      <c r="AZ556" t="s">
        <v>74</v>
      </c>
      <c r="BA556" t="s">
        <v>74</v>
      </c>
      <c r="BB556">
        <v>403</v>
      </c>
      <c r="BC556">
        <v>413</v>
      </c>
      <c r="BD556" t="s">
        <v>74</v>
      </c>
      <c r="BE556" t="s">
        <v>74</v>
      </c>
      <c r="BF556" t="s">
        <v>74</v>
      </c>
      <c r="BG556" t="s">
        <v>74</v>
      </c>
      <c r="BH556" t="s">
        <v>74</v>
      </c>
      <c r="BI556">
        <v>11</v>
      </c>
      <c r="BJ556" t="s">
        <v>1231</v>
      </c>
      <c r="BK556" t="s">
        <v>88</v>
      </c>
      <c r="BL556" t="s">
        <v>1232</v>
      </c>
      <c r="BM556" t="s">
        <v>7696</v>
      </c>
      <c r="BN556" t="s">
        <v>74</v>
      </c>
      <c r="BO556" t="s">
        <v>74</v>
      </c>
      <c r="BP556" t="s">
        <v>74</v>
      </c>
      <c r="BQ556" t="s">
        <v>74</v>
      </c>
      <c r="BR556" t="s">
        <v>91</v>
      </c>
      <c r="BS556" t="s">
        <v>7697</v>
      </c>
      <c r="BT556" t="str">
        <f>HYPERLINK("https%3A%2F%2Fwww.webofscience.com%2Fwos%2Fwoscc%2Ffull-record%2FWOS:000169067200007","View Full Record in Web of Science")</f>
        <v>View Full Record in Web of Science</v>
      </c>
    </row>
    <row r="557" spans="1:72" x14ac:dyDescent="0.15">
      <c r="A557" t="s">
        <v>72</v>
      </c>
      <c r="B557" t="s">
        <v>7698</v>
      </c>
      <c r="C557" t="s">
        <v>74</v>
      </c>
      <c r="D557" t="s">
        <v>74</v>
      </c>
      <c r="E557" t="s">
        <v>74</v>
      </c>
      <c r="F557" t="s">
        <v>7698</v>
      </c>
      <c r="G557" t="s">
        <v>74</v>
      </c>
      <c r="H557" t="s">
        <v>74</v>
      </c>
      <c r="I557" t="s">
        <v>7699</v>
      </c>
      <c r="J557" t="s">
        <v>7683</v>
      </c>
      <c r="K557" t="s">
        <v>74</v>
      </c>
      <c r="L557" t="s">
        <v>74</v>
      </c>
      <c r="M557" t="s">
        <v>77</v>
      </c>
      <c r="N557" t="s">
        <v>120</v>
      </c>
      <c r="O557" t="s">
        <v>74</v>
      </c>
      <c r="P557" t="s">
        <v>74</v>
      </c>
      <c r="Q557" t="s">
        <v>74</v>
      </c>
      <c r="R557" t="s">
        <v>74</v>
      </c>
      <c r="S557" t="s">
        <v>74</v>
      </c>
      <c r="T557" t="s">
        <v>74</v>
      </c>
      <c r="U557" t="s">
        <v>74</v>
      </c>
      <c r="V557" t="s">
        <v>7700</v>
      </c>
      <c r="W557" t="s">
        <v>7701</v>
      </c>
      <c r="X557" t="s">
        <v>7702</v>
      </c>
      <c r="Y557" t="s">
        <v>7703</v>
      </c>
      <c r="Z557" t="s">
        <v>74</v>
      </c>
      <c r="AA557" t="s">
        <v>74</v>
      </c>
      <c r="AB557" t="s">
        <v>74</v>
      </c>
      <c r="AC557" t="s">
        <v>74</v>
      </c>
      <c r="AD557" t="s">
        <v>74</v>
      </c>
      <c r="AE557" t="s">
        <v>74</v>
      </c>
      <c r="AF557" t="s">
        <v>74</v>
      </c>
      <c r="AG557">
        <v>4</v>
      </c>
      <c r="AH557">
        <v>2</v>
      </c>
      <c r="AI557">
        <v>3</v>
      </c>
      <c r="AJ557">
        <v>0</v>
      </c>
      <c r="AK557">
        <v>0</v>
      </c>
      <c r="AL557" t="s">
        <v>7690</v>
      </c>
      <c r="AM557" t="s">
        <v>150</v>
      </c>
      <c r="AN557" t="s">
        <v>7691</v>
      </c>
      <c r="AO557" t="s">
        <v>7692</v>
      </c>
      <c r="AP557" t="s">
        <v>7693</v>
      </c>
      <c r="AQ557" t="s">
        <v>74</v>
      </c>
      <c r="AR557" t="s">
        <v>7694</v>
      </c>
      <c r="AS557" t="s">
        <v>7695</v>
      </c>
      <c r="AT557" t="s">
        <v>7678</v>
      </c>
      <c r="AU557">
        <v>2001</v>
      </c>
      <c r="AV557">
        <v>114</v>
      </c>
      <c r="AW557">
        <v>2</v>
      </c>
      <c r="AX557" t="s">
        <v>74</v>
      </c>
      <c r="AY557" t="s">
        <v>74</v>
      </c>
      <c r="AZ557" t="s">
        <v>74</v>
      </c>
      <c r="BA557" t="s">
        <v>74</v>
      </c>
      <c r="BB557">
        <v>427</v>
      </c>
      <c r="BC557">
        <v>434</v>
      </c>
      <c r="BD557" t="s">
        <v>74</v>
      </c>
      <c r="BE557" t="s">
        <v>74</v>
      </c>
      <c r="BF557" t="s">
        <v>74</v>
      </c>
      <c r="BG557" t="s">
        <v>74</v>
      </c>
      <c r="BH557" t="s">
        <v>74</v>
      </c>
      <c r="BI557">
        <v>8</v>
      </c>
      <c r="BJ557" t="s">
        <v>1231</v>
      </c>
      <c r="BK557" t="s">
        <v>88</v>
      </c>
      <c r="BL557" t="s">
        <v>1232</v>
      </c>
      <c r="BM557" t="s">
        <v>7696</v>
      </c>
      <c r="BN557" t="s">
        <v>74</v>
      </c>
      <c r="BO557" t="s">
        <v>74</v>
      </c>
      <c r="BP557" t="s">
        <v>74</v>
      </c>
      <c r="BQ557" t="s">
        <v>74</v>
      </c>
      <c r="BR557" t="s">
        <v>91</v>
      </c>
      <c r="BS557" t="s">
        <v>7704</v>
      </c>
      <c r="BT557" t="str">
        <f>HYPERLINK("https%3A%2F%2Fwww.webofscience.com%2Fwos%2Fwoscc%2Ffull-record%2FWOS:000169067200009","View Full Record in Web of Science")</f>
        <v>View Full Record in Web of Science</v>
      </c>
    </row>
    <row r="558" spans="1:72" x14ac:dyDescent="0.15">
      <c r="A558" t="s">
        <v>72</v>
      </c>
      <c r="B558" t="s">
        <v>7705</v>
      </c>
      <c r="C558" t="s">
        <v>74</v>
      </c>
      <c r="D558" t="s">
        <v>74</v>
      </c>
      <c r="E558" t="s">
        <v>74</v>
      </c>
      <c r="F558" t="s">
        <v>7705</v>
      </c>
      <c r="G558" t="s">
        <v>74</v>
      </c>
      <c r="H558" t="s">
        <v>74</v>
      </c>
      <c r="I558" t="s">
        <v>7706</v>
      </c>
      <c r="J558" t="s">
        <v>5467</v>
      </c>
      <c r="K558" t="s">
        <v>74</v>
      </c>
      <c r="L558" t="s">
        <v>74</v>
      </c>
      <c r="M558" t="s">
        <v>77</v>
      </c>
      <c r="N558" t="s">
        <v>120</v>
      </c>
      <c r="O558" t="s">
        <v>74</v>
      </c>
      <c r="P558" t="s">
        <v>74</v>
      </c>
      <c r="Q558" t="s">
        <v>74</v>
      </c>
      <c r="R558" t="s">
        <v>74</v>
      </c>
      <c r="S558" t="s">
        <v>74</v>
      </c>
      <c r="T558" t="s">
        <v>74</v>
      </c>
      <c r="U558" t="s">
        <v>7707</v>
      </c>
      <c r="V558" t="s">
        <v>7708</v>
      </c>
      <c r="W558" t="s">
        <v>7709</v>
      </c>
      <c r="X558" t="s">
        <v>7710</v>
      </c>
      <c r="Y558" t="s">
        <v>7711</v>
      </c>
      <c r="Z558" t="s">
        <v>74</v>
      </c>
      <c r="AA558" t="s">
        <v>7712</v>
      </c>
      <c r="AB558" t="s">
        <v>7713</v>
      </c>
      <c r="AC558" t="s">
        <v>74</v>
      </c>
      <c r="AD558" t="s">
        <v>74</v>
      </c>
      <c r="AE558" t="s">
        <v>74</v>
      </c>
      <c r="AF558" t="s">
        <v>74</v>
      </c>
      <c r="AG558">
        <v>35</v>
      </c>
      <c r="AH558">
        <v>119</v>
      </c>
      <c r="AI558">
        <v>144</v>
      </c>
      <c r="AJ558">
        <v>4</v>
      </c>
      <c r="AK558">
        <v>33</v>
      </c>
      <c r="AL558" t="s">
        <v>508</v>
      </c>
      <c r="AM558" t="s">
        <v>150</v>
      </c>
      <c r="AN558" t="s">
        <v>509</v>
      </c>
      <c r="AO558" t="s">
        <v>5473</v>
      </c>
      <c r="AP558" t="s">
        <v>74</v>
      </c>
      <c r="AQ558" t="s">
        <v>74</v>
      </c>
      <c r="AR558" t="s">
        <v>5474</v>
      </c>
      <c r="AS558" t="s">
        <v>5475</v>
      </c>
      <c r="AT558" t="s">
        <v>7714</v>
      </c>
      <c r="AU558">
        <v>2001</v>
      </c>
      <c r="AV558">
        <v>105</v>
      </c>
      <c r="AW558">
        <v>20</v>
      </c>
      <c r="AX558" t="s">
        <v>74</v>
      </c>
      <c r="AY558" t="s">
        <v>74</v>
      </c>
      <c r="AZ558" t="s">
        <v>74</v>
      </c>
      <c r="BA558" t="s">
        <v>74</v>
      </c>
      <c r="BB558">
        <v>4928</v>
      </c>
      <c r="BC558">
        <v>4932</v>
      </c>
      <c r="BD558" t="s">
        <v>74</v>
      </c>
      <c r="BE558" t="s">
        <v>7715</v>
      </c>
      <c r="BF558" t="str">
        <f>HYPERLINK("http://dx.doi.org/10.1021/jp0042009","http://dx.doi.org/10.1021/jp0042009")</f>
        <v>http://dx.doi.org/10.1021/jp0042009</v>
      </c>
      <c r="BG558" t="s">
        <v>74</v>
      </c>
      <c r="BH558" t="s">
        <v>74</v>
      </c>
      <c r="BI558">
        <v>5</v>
      </c>
      <c r="BJ558" t="s">
        <v>5478</v>
      </c>
      <c r="BK558" t="s">
        <v>88</v>
      </c>
      <c r="BL558" t="s">
        <v>5479</v>
      </c>
      <c r="BM558" t="s">
        <v>7716</v>
      </c>
      <c r="BN558" t="s">
        <v>74</v>
      </c>
      <c r="BO558" t="s">
        <v>74</v>
      </c>
      <c r="BP558" t="s">
        <v>74</v>
      </c>
      <c r="BQ558" t="s">
        <v>74</v>
      </c>
      <c r="BR558" t="s">
        <v>91</v>
      </c>
      <c r="BS558" t="s">
        <v>7717</v>
      </c>
      <c r="BT558" t="str">
        <f>HYPERLINK("https%3A%2F%2Fwww.webofscience.com%2Fwos%2Fwoscc%2Ffull-record%2FWOS:000168914900017","View Full Record in Web of Science")</f>
        <v>View Full Record in Web of Science</v>
      </c>
    </row>
    <row r="559" spans="1:72" x14ac:dyDescent="0.15">
      <c r="A559" t="s">
        <v>72</v>
      </c>
      <c r="B559" t="s">
        <v>7718</v>
      </c>
      <c r="C559" t="s">
        <v>74</v>
      </c>
      <c r="D559" t="s">
        <v>74</v>
      </c>
      <c r="E559" t="s">
        <v>74</v>
      </c>
      <c r="F559" t="s">
        <v>7718</v>
      </c>
      <c r="G559" t="s">
        <v>74</v>
      </c>
      <c r="H559" t="s">
        <v>74</v>
      </c>
      <c r="I559" t="s">
        <v>7719</v>
      </c>
      <c r="J559" t="s">
        <v>5467</v>
      </c>
      <c r="K559" t="s">
        <v>74</v>
      </c>
      <c r="L559" t="s">
        <v>74</v>
      </c>
      <c r="M559" t="s">
        <v>77</v>
      </c>
      <c r="N559" t="s">
        <v>120</v>
      </c>
      <c r="O559" t="s">
        <v>74</v>
      </c>
      <c r="P559" t="s">
        <v>74</v>
      </c>
      <c r="Q559" t="s">
        <v>74</v>
      </c>
      <c r="R559" t="s">
        <v>74</v>
      </c>
      <c r="S559" t="s">
        <v>74</v>
      </c>
      <c r="T559" t="s">
        <v>74</v>
      </c>
      <c r="U559" t="s">
        <v>7720</v>
      </c>
      <c r="V559" t="s">
        <v>7721</v>
      </c>
      <c r="W559" t="s">
        <v>7722</v>
      </c>
      <c r="X559" t="s">
        <v>7723</v>
      </c>
      <c r="Y559" t="s">
        <v>7724</v>
      </c>
      <c r="Z559" t="s">
        <v>74</v>
      </c>
      <c r="AA559" t="s">
        <v>7725</v>
      </c>
      <c r="AB559" t="s">
        <v>74</v>
      </c>
      <c r="AC559" t="s">
        <v>74</v>
      </c>
      <c r="AD559" t="s">
        <v>74</v>
      </c>
      <c r="AE559" t="s">
        <v>74</v>
      </c>
      <c r="AF559" t="s">
        <v>74</v>
      </c>
      <c r="AG559">
        <v>35</v>
      </c>
      <c r="AH559">
        <v>17</v>
      </c>
      <c r="AI559">
        <v>19</v>
      </c>
      <c r="AJ559">
        <v>2</v>
      </c>
      <c r="AK559">
        <v>15</v>
      </c>
      <c r="AL559" t="s">
        <v>508</v>
      </c>
      <c r="AM559" t="s">
        <v>150</v>
      </c>
      <c r="AN559" t="s">
        <v>509</v>
      </c>
      <c r="AO559" t="s">
        <v>5473</v>
      </c>
      <c r="AP559" t="s">
        <v>74</v>
      </c>
      <c r="AQ559" t="s">
        <v>74</v>
      </c>
      <c r="AR559" t="s">
        <v>5474</v>
      </c>
      <c r="AS559" t="s">
        <v>5475</v>
      </c>
      <c r="AT559" t="s">
        <v>7714</v>
      </c>
      <c r="AU559">
        <v>2001</v>
      </c>
      <c r="AV559">
        <v>105</v>
      </c>
      <c r="AW559">
        <v>20</v>
      </c>
      <c r="AX559" t="s">
        <v>74</v>
      </c>
      <c r="AY559" t="s">
        <v>74</v>
      </c>
      <c r="AZ559" t="s">
        <v>74</v>
      </c>
      <c r="BA559" t="s">
        <v>74</v>
      </c>
      <c r="BB559">
        <v>4940</v>
      </c>
      <c r="BC559">
        <v>4945</v>
      </c>
      <c r="BD559" t="s">
        <v>74</v>
      </c>
      <c r="BE559" t="s">
        <v>7726</v>
      </c>
      <c r="BF559" t="str">
        <f>HYPERLINK("http://dx.doi.org/10.1021/jp0101007","http://dx.doi.org/10.1021/jp0101007")</f>
        <v>http://dx.doi.org/10.1021/jp0101007</v>
      </c>
      <c r="BG559" t="s">
        <v>74</v>
      </c>
      <c r="BH559" t="s">
        <v>74</v>
      </c>
      <c r="BI559">
        <v>6</v>
      </c>
      <c r="BJ559" t="s">
        <v>5478</v>
      </c>
      <c r="BK559" t="s">
        <v>88</v>
      </c>
      <c r="BL559" t="s">
        <v>5479</v>
      </c>
      <c r="BM559" t="s">
        <v>7716</v>
      </c>
      <c r="BN559" t="s">
        <v>74</v>
      </c>
      <c r="BO559" t="s">
        <v>74</v>
      </c>
      <c r="BP559" t="s">
        <v>74</v>
      </c>
      <c r="BQ559" t="s">
        <v>74</v>
      </c>
      <c r="BR559" t="s">
        <v>91</v>
      </c>
      <c r="BS559" t="s">
        <v>7727</v>
      </c>
      <c r="BT559" t="str">
        <f>HYPERLINK("https%3A%2F%2Fwww.webofscience.com%2Fwos%2Fwoscc%2Ffull-record%2FWOS:000168914900019","View Full Record in Web of Science")</f>
        <v>View Full Record in Web of Science</v>
      </c>
    </row>
    <row r="560" spans="1:72" x14ac:dyDescent="0.15">
      <c r="A560" t="s">
        <v>72</v>
      </c>
      <c r="B560" t="s">
        <v>7728</v>
      </c>
      <c r="C560" t="s">
        <v>74</v>
      </c>
      <c r="D560" t="s">
        <v>74</v>
      </c>
      <c r="E560" t="s">
        <v>74</v>
      </c>
      <c r="F560" t="s">
        <v>7728</v>
      </c>
      <c r="G560" t="s">
        <v>74</v>
      </c>
      <c r="H560" t="s">
        <v>74</v>
      </c>
      <c r="I560" t="s">
        <v>7729</v>
      </c>
      <c r="J560" t="s">
        <v>695</v>
      </c>
      <c r="K560" t="s">
        <v>74</v>
      </c>
      <c r="L560" t="s">
        <v>74</v>
      </c>
      <c r="M560" t="s">
        <v>77</v>
      </c>
      <c r="N560" t="s">
        <v>120</v>
      </c>
      <c r="O560" t="s">
        <v>74</v>
      </c>
      <c r="P560" t="s">
        <v>74</v>
      </c>
      <c r="Q560" t="s">
        <v>74</v>
      </c>
      <c r="R560" t="s">
        <v>74</v>
      </c>
      <c r="S560" t="s">
        <v>74</v>
      </c>
      <c r="T560" t="s">
        <v>74</v>
      </c>
      <c r="U560" t="s">
        <v>7730</v>
      </c>
      <c r="V560" t="s">
        <v>7731</v>
      </c>
      <c r="W560" t="s">
        <v>7732</v>
      </c>
      <c r="X560" t="s">
        <v>7733</v>
      </c>
      <c r="Y560" t="s">
        <v>7734</v>
      </c>
      <c r="Z560" t="s">
        <v>74</v>
      </c>
      <c r="AA560" t="s">
        <v>7735</v>
      </c>
      <c r="AB560" t="s">
        <v>1827</v>
      </c>
      <c r="AC560" t="s">
        <v>74</v>
      </c>
      <c r="AD560" t="s">
        <v>74</v>
      </c>
      <c r="AE560" t="s">
        <v>74</v>
      </c>
      <c r="AF560" t="s">
        <v>74</v>
      </c>
      <c r="AG560">
        <v>21</v>
      </c>
      <c r="AH560">
        <v>49</v>
      </c>
      <c r="AI560">
        <v>53</v>
      </c>
      <c r="AJ560">
        <v>0</v>
      </c>
      <c r="AK560">
        <v>16</v>
      </c>
      <c r="AL560" t="s">
        <v>700</v>
      </c>
      <c r="AM560" t="s">
        <v>683</v>
      </c>
      <c r="AN560" t="s">
        <v>701</v>
      </c>
      <c r="AO560" t="s">
        <v>702</v>
      </c>
      <c r="AP560" t="s">
        <v>74</v>
      </c>
      <c r="AQ560" t="s">
        <v>74</v>
      </c>
      <c r="AR560" t="s">
        <v>695</v>
      </c>
      <c r="AS560" t="s">
        <v>703</v>
      </c>
      <c r="AT560" t="s">
        <v>7714</v>
      </c>
      <c r="AU560">
        <v>2001</v>
      </c>
      <c r="AV560">
        <v>411</v>
      </c>
      <c r="AW560">
        <v>6836</v>
      </c>
      <c r="AX560" t="s">
        <v>74</v>
      </c>
      <c r="AY560" t="s">
        <v>74</v>
      </c>
      <c r="AZ560" t="s">
        <v>74</v>
      </c>
      <c r="BA560" t="s">
        <v>74</v>
      </c>
      <c r="BB560">
        <v>460</v>
      </c>
      <c r="BC560">
        <v>462</v>
      </c>
      <c r="BD560" t="s">
        <v>74</v>
      </c>
      <c r="BE560" t="s">
        <v>7736</v>
      </c>
      <c r="BF560" t="str">
        <f>HYPERLINK("http://dx.doi.org/10.1038/35078045","http://dx.doi.org/10.1038/35078045")</f>
        <v>http://dx.doi.org/10.1038/35078045</v>
      </c>
      <c r="BG560" t="s">
        <v>74</v>
      </c>
      <c r="BH560" t="s">
        <v>74</v>
      </c>
      <c r="BI560">
        <v>3</v>
      </c>
      <c r="BJ560" t="s">
        <v>575</v>
      </c>
      <c r="BK560" t="s">
        <v>88</v>
      </c>
      <c r="BL560" t="s">
        <v>576</v>
      </c>
      <c r="BM560" t="s">
        <v>7737</v>
      </c>
      <c r="BN560">
        <v>11373674</v>
      </c>
      <c r="BO560" t="s">
        <v>74</v>
      </c>
      <c r="BP560" t="s">
        <v>74</v>
      </c>
      <c r="BQ560" t="s">
        <v>74</v>
      </c>
      <c r="BR560" t="s">
        <v>91</v>
      </c>
      <c r="BS560" t="s">
        <v>7738</v>
      </c>
      <c r="BT560" t="str">
        <f>HYPERLINK("https%3A%2F%2Fwww.webofscience.com%2Fwos%2Fwoscc%2Ffull-record%2FWOS:000168858700043","View Full Record in Web of Science")</f>
        <v>View Full Record in Web of Science</v>
      </c>
    </row>
    <row r="561" spans="1:72" x14ac:dyDescent="0.15">
      <c r="A561" t="s">
        <v>72</v>
      </c>
      <c r="B561" t="s">
        <v>7739</v>
      </c>
      <c r="C561" t="s">
        <v>74</v>
      </c>
      <c r="D561" t="s">
        <v>74</v>
      </c>
      <c r="E561" t="s">
        <v>74</v>
      </c>
      <c r="F561" t="s">
        <v>7739</v>
      </c>
      <c r="G561" t="s">
        <v>74</v>
      </c>
      <c r="H561" t="s">
        <v>74</v>
      </c>
      <c r="I561" t="s">
        <v>7740</v>
      </c>
      <c r="J561" t="s">
        <v>7741</v>
      </c>
      <c r="K561" t="s">
        <v>74</v>
      </c>
      <c r="L561" t="s">
        <v>74</v>
      </c>
      <c r="M561" t="s">
        <v>77</v>
      </c>
      <c r="N561" t="s">
        <v>120</v>
      </c>
      <c r="O561" t="s">
        <v>74</v>
      </c>
      <c r="P561" t="s">
        <v>74</v>
      </c>
      <c r="Q561" t="s">
        <v>74</v>
      </c>
      <c r="R561" t="s">
        <v>74</v>
      </c>
      <c r="S561" t="s">
        <v>74</v>
      </c>
      <c r="T561" t="s">
        <v>74</v>
      </c>
      <c r="U561" t="s">
        <v>7742</v>
      </c>
      <c r="V561" t="s">
        <v>7743</v>
      </c>
      <c r="W561" t="s">
        <v>7744</v>
      </c>
      <c r="X561" t="s">
        <v>2887</v>
      </c>
      <c r="Y561" t="s">
        <v>7745</v>
      </c>
      <c r="Z561" t="s">
        <v>7746</v>
      </c>
      <c r="AA561" t="s">
        <v>74</v>
      </c>
      <c r="AB561" t="s">
        <v>74</v>
      </c>
      <c r="AC561" t="s">
        <v>74</v>
      </c>
      <c r="AD561" t="s">
        <v>74</v>
      </c>
      <c r="AE561" t="s">
        <v>74</v>
      </c>
      <c r="AF561" t="s">
        <v>74</v>
      </c>
      <c r="AG561">
        <v>25</v>
      </c>
      <c r="AH561">
        <v>12</v>
      </c>
      <c r="AI561">
        <v>13</v>
      </c>
      <c r="AJ561">
        <v>0</v>
      </c>
      <c r="AK561">
        <v>14</v>
      </c>
      <c r="AL561" t="s">
        <v>7747</v>
      </c>
      <c r="AM561" t="s">
        <v>150</v>
      </c>
      <c r="AN561" t="s">
        <v>7748</v>
      </c>
      <c r="AO561" t="s">
        <v>7749</v>
      </c>
      <c r="AP561" t="s">
        <v>7750</v>
      </c>
      <c r="AQ561" t="s">
        <v>74</v>
      </c>
      <c r="AR561" t="s">
        <v>7751</v>
      </c>
      <c r="AS561" t="s">
        <v>7752</v>
      </c>
      <c r="AT561" t="s">
        <v>7753</v>
      </c>
      <c r="AU561">
        <v>2001</v>
      </c>
      <c r="AV561">
        <v>40</v>
      </c>
      <c r="AW561">
        <v>15</v>
      </c>
      <c r="AX561" t="s">
        <v>74</v>
      </c>
      <c r="AY561" t="s">
        <v>74</v>
      </c>
      <c r="AZ561" t="s">
        <v>74</v>
      </c>
      <c r="BA561" t="s">
        <v>74</v>
      </c>
      <c r="BB561">
        <v>2496</v>
      </c>
      <c r="BC561">
        <v>2500</v>
      </c>
      <c r="BD561" t="s">
        <v>74</v>
      </c>
      <c r="BE561" t="s">
        <v>7754</v>
      </c>
      <c r="BF561" t="str">
        <f>HYPERLINK("http://dx.doi.org/10.1364/AO.40.002496","http://dx.doi.org/10.1364/AO.40.002496")</f>
        <v>http://dx.doi.org/10.1364/AO.40.002496</v>
      </c>
      <c r="BG561" t="s">
        <v>74</v>
      </c>
      <c r="BH561" t="s">
        <v>74</v>
      </c>
      <c r="BI561">
        <v>5</v>
      </c>
      <c r="BJ561" t="s">
        <v>7755</v>
      </c>
      <c r="BK561" t="s">
        <v>88</v>
      </c>
      <c r="BL561" t="s">
        <v>7755</v>
      </c>
      <c r="BM561" t="s">
        <v>7756</v>
      </c>
      <c r="BN561">
        <v>18357262</v>
      </c>
      <c r="BO561" t="s">
        <v>74</v>
      </c>
      <c r="BP561" t="s">
        <v>74</v>
      </c>
      <c r="BQ561" t="s">
        <v>74</v>
      </c>
      <c r="BR561" t="s">
        <v>91</v>
      </c>
      <c r="BS561" t="s">
        <v>7757</v>
      </c>
      <c r="BT561" t="str">
        <f>HYPERLINK("https%3A%2F%2Fwww.webofscience.com%2Fwos%2Fwoscc%2Ffull-record%2FWOS:000168758900020","View Full Record in Web of Science")</f>
        <v>View Full Record in Web of Science</v>
      </c>
    </row>
    <row r="562" spans="1:72" x14ac:dyDescent="0.15">
      <c r="A562" t="s">
        <v>72</v>
      </c>
      <c r="B562" t="s">
        <v>7758</v>
      </c>
      <c r="C562" t="s">
        <v>74</v>
      </c>
      <c r="D562" t="s">
        <v>74</v>
      </c>
      <c r="E562" t="s">
        <v>74</v>
      </c>
      <c r="F562" t="s">
        <v>7758</v>
      </c>
      <c r="G562" t="s">
        <v>74</v>
      </c>
      <c r="H562" t="s">
        <v>74</v>
      </c>
      <c r="I562" t="s">
        <v>7759</v>
      </c>
      <c r="J562" t="s">
        <v>7741</v>
      </c>
      <c r="K562" t="s">
        <v>74</v>
      </c>
      <c r="L562" t="s">
        <v>74</v>
      </c>
      <c r="M562" t="s">
        <v>77</v>
      </c>
      <c r="N562" t="s">
        <v>120</v>
      </c>
      <c r="O562" t="s">
        <v>74</v>
      </c>
      <c r="P562" t="s">
        <v>74</v>
      </c>
      <c r="Q562" t="s">
        <v>74</v>
      </c>
      <c r="R562" t="s">
        <v>74</v>
      </c>
      <c r="S562" t="s">
        <v>74</v>
      </c>
      <c r="T562" t="s">
        <v>74</v>
      </c>
      <c r="U562" t="s">
        <v>7760</v>
      </c>
      <c r="V562" t="s">
        <v>7761</v>
      </c>
      <c r="W562" t="s">
        <v>7744</v>
      </c>
      <c r="X562" t="s">
        <v>2887</v>
      </c>
      <c r="Y562" t="s">
        <v>7762</v>
      </c>
      <c r="Z562" t="s">
        <v>74</v>
      </c>
      <c r="AA562" t="s">
        <v>74</v>
      </c>
      <c r="AB562" t="s">
        <v>74</v>
      </c>
      <c r="AC562" t="s">
        <v>74</v>
      </c>
      <c r="AD562" t="s">
        <v>74</v>
      </c>
      <c r="AE562" t="s">
        <v>74</v>
      </c>
      <c r="AF562" t="s">
        <v>74</v>
      </c>
      <c r="AG562">
        <v>22</v>
      </c>
      <c r="AH562">
        <v>6</v>
      </c>
      <c r="AI562">
        <v>8</v>
      </c>
      <c r="AJ562">
        <v>0</v>
      </c>
      <c r="AK562">
        <v>2</v>
      </c>
      <c r="AL562" t="s">
        <v>7747</v>
      </c>
      <c r="AM562" t="s">
        <v>150</v>
      </c>
      <c r="AN562" t="s">
        <v>7748</v>
      </c>
      <c r="AO562" t="s">
        <v>7749</v>
      </c>
      <c r="AP562" t="s">
        <v>7750</v>
      </c>
      <c r="AQ562" t="s">
        <v>74</v>
      </c>
      <c r="AR562" t="s">
        <v>7751</v>
      </c>
      <c r="AS562" t="s">
        <v>7752</v>
      </c>
      <c r="AT562" t="s">
        <v>7753</v>
      </c>
      <c r="AU562">
        <v>2001</v>
      </c>
      <c r="AV562">
        <v>40</v>
      </c>
      <c r="AW562">
        <v>15</v>
      </c>
      <c r="AX562" t="s">
        <v>74</v>
      </c>
      <c r="AY562" t="s">
        <v>74</v>
      </c>
      <c r="AZ562" t="s">
        <v>74</v>
      </c>
      <c r="BA562" t="s">
        <v>74</v>
      </c>
      <c r="BB562">
        <v>2515</v>
      </c>
      <c r="BC562">
        <v>2521</v>
      </c>
      <c r="BD562" t="s">
        <v>74</v>
      </c>
      <c r="BE562" t="s">
        <v>7763</v>
      </c>
      <c r="BF562" t="str">
        <f>HYPERLINK("http://dx.doi.org/10.1364/AO.40.002515","http://dx.doi.org/10.1364/AO.40.002515")</f>
        <v>http://dx.doi.org/10.1364/AO.40.002515</v>
      </c>
      <c r="BG562" t="s">
        <v>74</v>
      </c>
      <c r="BH562" t="s">
        <v>74</v>
      </c>
      <c r="BI562">
        <v>7</v>
      </c>
      <c r="BJ562" t="s">
        <v>7755</v>
      </c>
      <c r="BK562" t="s">
        <v>88</v>
      </c>
      <c r="BL562" t="s">
        <v>7755</v>
      </c>
      <c r="BM562" t="s">
        <v>7756</v>
      </c>
      <c r="BN562">
        <v>18357265</v>
      </c>
      <c r="BO562" t="s">
        <v>74</v>
      </c>
      <c r="BP562" t="s">
        <v>74</v>
      </c>
      <c r="BQ562" t="s">
        <v>74</v>
      </c>
      <c r="BR562" t="s">
        <v>91</v>
      </c>
      <c r="BS562" t="s">
        <v>7764</v>
      </c>
      <c r="BT562" t="str">
        <f>HYPERLINK("https%3A%2F%2Fwww.webofscience.com%2Fwos%2Fwoscc%2Ffull-record%2FWOS:000168758900023","View Full Record in Web of Science")</f>
        <v>View Full Record in Web of Science</v>
      </c>
    </row>
    <row r="563" spans="1:72" x14ac:dyDescent="0.15">
      <c r="A563" t="s">
        <v>72</v>
      </c>
      <c r="B563" t="s">
        <v>7765</v>
      </c>
      <c r="C563" t="s">
        <v>74</v>
      </c>
      <c r="D563" t="s">
        <v>74</v>
      </c>
      <c r="E563" t="s">
        <v>74</v>
      </c>
      <c r="F563" t="s">
        <v>7765</v>
      </c>
      <c r="G563" t="s">
        <v>74</v>
      </c>
      <c r="H563" t="s">
        <v>74</v>
      </c>
      <c r="I563" t="s">
        <v>7766</v>
      </c>
      <c r="J563" t="s">
        <v>7767</v>
      </c>
      <c r="K563" t="s">
        <v>74</v>
      </c>
      <c r="L563" t="s">
        <v>74</v>
      </c>
      <c r="M563" t="s">
        <v>77</v>
      </c>
      <c r="N563" t="s">
        <v>120</v>
      </c>
      <c r="O563" t="s">
        <v>74</v>
      </c>
      <c r="P563" t="s">
        <v>74</v>
      </c>
      <c r="Q563" t="s">
        <v>74</v>
      </c>
      <c r="R563" t="s">
        <v>74</v>
      </c>
      <c r="S563" t="s">
        <v>74</v>
      </c>
      <c r="T563" t="s">
        <v>7768</v>
      </c>
      <c r="U563" t="s">
        <v>7769</v>
      </c>
      <c r="V563" t="s">
        <v>7770</v>
      </c>
      <c r="W563" t="s">
        <v>7771</v>
      </c>
      <c r="X563" t="s">
        <v>7772</v>
      </c>
      <c r="Y563" t="s">
        <v>7773</v>
      </c>
      <c r="Z563" t="s">
        <v>74</v>
      </c>
      <c r="AA563" t="s">
        <v>74</v>
      </c>
      <c r="AB563" t="s">
        <v>7774</v>
      </c>
      <c r="AC563" t="s">
        <v>74</v>
      </c>
      <c r="AD563" t="s">
        <v>74</v>
      </c>
      <c r="AE563" t="s">
        <v>74</v>
      </c>
      <c r="AF563" t="s">
        <v>74</v>
      </c>
      <c r="AG563">
        <v>59</v>
      </c>
      <c r="AH563">
        <v>42</v>
      </c>
      <c r="AI563">
        <v>45</v>
      </c>
      <c r="AJ563">
        <v>0</v>
      </c>
      <c r="AK563">
        <v>2</v>
      </c>
      <c r="AL563" t="s">
        <v>7775</v>
      </c>
      <c r="AM563" t="s">
        <v>7776</v>
      </c>
      <c r="AN563" t="s">
        <v>7777</v>
      </c>
      <c r="AO563" t="s">
        <v>7778</v>
      </c>
      <c r="AP563" t="s">
        <v>7779</v>
      </c>
      <c r="AQ563" t="s">
        <v>74</v>
      </c>
      <c r="AR563" t="s">
        <v>7780</v>
      </c>
      <c r="AS563" t="s">
        <v>7781</v>
      </c>
      <c r="AT563" t="s">
        <v>7753</v>
      </c>
      <c r="AU563">
        <v>2001</v>
      </c>
      <c r="AV563">
        <v>553</v>
      </c>
      <c r="AW563">
        <v>1</v>
      </c>
      <c r="AX563">
        <v>1</v>
      </c>
      <c r="AY563" t="s">
        <v>74</v>
      </c>
      <c r="AZ563" t="s">
        <v>74</v>
      </c>
      <c r="BA563" t="s">
        <v>74</v>
      </c>
      <c r="BB563">
        <v>274</v>
      </c>
      <c r="BC563">
        <v>287</v>
      </c>
      <c r="BD563" t="s">
        <v>74</v>
      </c>
      <c r="BE563" t="s">
        <v>7782</v>
      </c>
      <c r="BF563" t="str">
        <f>HYPERLINK("http://dx.doi.org/10.1086/320628","http://dx.doi.org/10.1086/320628")</f>
        <v>http://dx.doi.org/10.1086/320628</v>
      </c>
      <c r="BG563" t="s">
        <v>74</v>
      </c>
      <c r="BH563" t="s">
        <v>74</v>
      </c>
      <c r="BI563">
        <v>14</v>
      </c>
      <c r="BJ563" t="s">
        <v>1139</v>
      </c>
      <c r="BK563" t="s">
        <v>88</v>
      </c>
      <c r="BL563" t="s">
        <v>1139</v>
      </c>
      <c r="BM563" t="s">
        <v>7783</v>
      </c>
      <c r="BN563" t="s">
        <v>74</v>
      </c>
      <c r="BO563" t="s">
        <v>7125</v>
      </c>
      <c r="BP563" t="s">
        <v>74</v>
      </c>
      <c r="BQ563" t="s">
        <v>74</v>
      </c>
      <c r="BR563" t="s">
        <v>91</v>
      </c>
      <c r="BS563" t="s">
        <v>7784</v>
      </c>
      <c r="BT563" t="str">
        <f>HYPERLINK("https%3A%2F%2Fwww.webofscience.com%2Fwos%2Fwoscc%2Ffull-record%2FWOS:000169280400024","View Full Record in Web of Science")</f>
        <v>View Full Record in Web of Science</v>
      </c>
    </row>
    <row r="564" spans="1:72" x14ac:dyDescent="0.15">
      <c r="A564" t="s">
        <v>72</v>
      </c>
      <c r="B564" t="s">
        <v>7785</v>
      </c>
      <c r="C564" t="s">
        <v>74</v>
      </c>
      <c r="D564" t="s">
        <v>74</v>
      </c>
      <c r="E564" t="s">
        <v>74</v>
      </c>
      <c r="F564" t="s">
        <v>7785</v>
      </c>
      <c r="G564" t="s">
        <v>74</v>
      </c>
      <c r="H564" t="s">
        <v>74</v>
      </c>
      <c r="I564" t="s">
        <v>7786</v>
      </c>
      <c r="J564" t="s">
        <v>678</v>
      </c>
      <c r="K564" t="s">
        <v>74</v>
      </c>
      <c r="L564" t="s">
        <v>74</v>
      </c>
      <c r="M564" t="s">
        <v>77</v>
      </c>
      <c r="N564" t="s">
        <v>120</v>
      </c>
      <c r="O564" t="s">
        <v>74</v>
      </c>
      <c r="P564" t="s">
        <v>74</v>
      </c>
      <c r="Q564" t="s">
        <v>74</v>
      </c>
      <c r="R564" t="s">
        <v>74</v>
      </c>
      <c r="S564" t="s">
        <v>74</v>
      </c>
      <c r="T564" t="s">
        <v>74</v>
      </c>
      <c r="U564" t="s">
        <v>7787</v>
      </c>
      <c r="V564" t="s">
        <v>7788</v>
      </c>
      <c r="W564" t="s">
        <v>7789</v>
      </c>
      <c r="X564" t="s">
        <v>5655</v>
      </c>
      <c r="Y564" t="s">
        <v>7790</v>
      </c>
      <c r="Z564" t="s">
        <v>7791</v>
      </c>
      <c r="AA564" t="s">
        <v>7792</v>
      </c>
      <c r="AB564" t="s">
        <v>7793</v>
      </c>
      <c r="AC564" t="s">
        <v>74</v>
      </c>
      <c r="AD564" t="s">
        <v>74</v>
      </c>
      <c r="AE564" t="s">
        <v>74</v>
      </c>
      <c r="AF564" t="s">
        <v>74</v>
      </c>
      <c r="AG564">
        <v>36</v>
      </c>
      <c r="AH564">
        <v>37</v>
      </c>
      <c r="AI564">
        <v>47</v>
      </c>
      <c r="AJ564">
        <v>0</v>
      </c>
      <c r="AK564">
        <v>8</v>
      </c>
      <c r="AL564" t="s">
        <v>104</v>
      </c>
      <c r="AM564" t="s">
        <v>105</v>
      </c>
      <c r="AN564" t="s">
        <v>106</v>
      </c>
      <c r="AO564" t="s">
        <v>685</v>
      </c>
      <c r="AP564" t="s">
        <v>7794</v>
      </c>
      <c r="AQ564" t="s">
        <v>74</v>
      </c>
      <c r="AR564" t="s">
        <v>686</v>
      </c>
      <c r="AS564" t="s">
        <v>687</v>
      </c>
      <c r="AT564" t="s">
        <v>7753</v>
      </c>
      <c r="AU564">
        <v>2001</v>
      </c>
      <c r="AV564">
        <v>22</v>
      </c>
      <c r="AW564">
        <v>8</v>
      </c>
      <c r="AX564" t="s">
        <v>74</v>
      </c>
      <c r="AY564" t="s">
        <v>74</v>
      </c>
      <c r="AZ564" t="s">
        <v>74</v>
      </c>
      <c r="BA564" t="s">
        <v>74</v>
      </c>
      <c r="BB564">
        <v>1495</v>
      </c>
      <c r="BC564">
        <v>1520</v>
      </c>
      <c r="BD564" t="s">
        <v>74</v>
      </c>
      <c r="BE564" t="s">
        <v>7795</v>
      </c>
      <c r="BF564" t="str">
        <f>HYPERLINK("http://dx.doi.org/10.1080/01431160121039","http://dx.doi.org/10.1080/01431160121039")</f>
        <v>http://dx.doi.org/10.1080/01431160121039</v>
      </c>
      <c r="BG564" t="s">
        <v>74</v>
      </c>
      <c r="BH564" t="s">
        <v>74</v>
      </c>
      <c r="BI564">
        <v>26</v>
      </c>
      <c r="BJ564" t="s">
        <v>690</v>
      </c>
      <c r="BK564" t="s">
        <v>88</v>
      </c>
      <c r="BL564" t="s">
        <v>690</v>
      </c>
      <c r="BM564" t="s">
        <v>7796</v>
      </c>
      <c r="BN564" t="s">
        <v>74</v>
      </c>
      <c r="BO564" t="s">
        <v>74</v>
      </c>
      <c r="BP564" t="s">
        <v>74</v>
      </c>
      <c r="BQ564" t="s">
        <v>74</v>
      </c>
      <c r="BR564" t="s">
        <v>91</v>
      </c>
      <c r="BS564" t="s">
        <v>7797</v>
      </c>
      <c r="BT564" t="str">
        <f>HYPERLINK("https%3A%2F%2Fwww.webofscience.com%2Fwos%2Fwoscc%2Ffull-record%2FWOS:000168977600008","View Full Record in Web of Science")</f>
        <v>View Full Record in Web of Science</v>
      </c>
    </row>
    <row r="565" spans="1:72" x14ac:dyDescent="0.15">
      <c r="A565" t="s">
        <v>72</v>
      </c>
      <c r="B565" t="s">
        <v>7798</v>
      </c>
      <c r="C565" t="s">
        <v>74</v>
      </c>
      <c r="D565" t="s">
        <v>74</v>
      </c>
      <c r="E565" t="s">
        <v>74</v>
      </c>
      <c r="F565" t="s">
        <v>7798</v>
      </c>
      <c r="G565" t="s">
        <v>74</v>
      </c>
      <c r="H565" t="s">
        <v>74</v>
      </c>
      <c r="I565" t="s">
        <v>7799</v>
      </c>
      <c r="J565" t="s">
        <v>5689</v>
      </c>
      <c r="K565" t="s">
        <v>74</v>
      </c>
      <c r="L565" t="s">
        <v>74</v>
      </c>
      <c r="M565" t="s">
        <v>77</v>
      </c>
      <c r="N565" t="s">
        <v>6486</v>
      </c>
      <c r="O565" t="s">
        <v>74</v>
      </c>
      <c r="P565" t="s">
        <v>74</v>
      </c>
      <c r="Q565" t="s">
        <v>74</v>
      </c>
      <c r="R565" t="s">
        <v>74</v>
      </c>
      <c r="S565" t="s">
        <v>74</v>
      </c>
      <c r="T565" t="s">
        <v>74</v>
      </c>
      <c r="U565" t="s">
        <v>74</v>
      </c>
      <c r="V565" t="s">
        <v>74</v>
      </c>
      <c r="W565" t="s">
        <v>74</v>
      </c>
      <c r="X565" t="s">
        <v>74</v>
      </c>
      <c r="Y565" t="s">
        <v>74</v>
      </c>
      <c r="Z565" t="s">
        <v>74</v>
      </c>
      <c r="AA565" t="s">
        <v>74</v>
      </c>
      <c r="AB565" t="s">
        <v>74</v>
      </c>
      <c r="AC565" t="s">
        <v>74</v>
      </c>
      <c r="AD565" t="s">
        <v>74</v>
      </c>
      <c r="AE565" t="s">
        <v>74</v>
      </c>
      <c r="AF565" t="s">
        <v>74</v>
      </c>
      <c r="AG565">
        <v>1</v>
      </c>
      <c r="AH565">
        <v>0</v>
      </c>
      <c r="AI565">
        <v>0</v>
      </c>
      <c r="AJ565">
        <v>0</v>
      </c>
      <c r="AK565">
        <v>0</v>
      </c>
      <c r="AL565" t="s">
        <v>5690</v>
      </c>
      <c r="AM565" t="s">
        <v>5691</v>
      </c>
      <c r="AN565" t="s">
        <v>5692</v>
      </c>
      <c r="AO565" t="s">
        <v>5693</v>
      </c>
      <c r="AP565" t="s">
        <v>7800</v>
      </c>
      <c r="AQ565" t="s">
        <v>74</v>
      </c>
      <c r="AR565" t="s">
        <v>5694</v>
      </c>
      <c r="AS565" t="s">
        <v>5695</v>
      </c>
      <c r="AT565" t="s">
        <v>7801</v>
      </c>
      <c r="AU565">
        <v>2001</v>
      </c>
      <c r="AV565" t="s">
        <v>74</v>
      </c>
      <c r="AW565">
        <v>5120</v>
      </c>
      <c r="AX565" t="s">
        <v>74</v>
      </c>
      <c r="AY565" t="s">
        <v>74</v>
      </c>
      <c r="AZ565" t="s">
        <v>74</v>
      </c>
      <c r="BA565" t="s">
        <v>74</v>
      </c>
      <c r="BB565">
        <v>19</v>
      </c>
      <c r="BC565">
        <v>19</v>
      </c>
      <c r="BD565" t="s">
        <v>74</v>
      </c>
      <c r="BE565" t="s">
        <v>74</v>
      </c>
      <c r="BF565" t="s">
        <v>74</v>
      </c>
      <c r="BG565" t="s">
        <v>74</v>
      </c>
      <c r="BH565" t="s">
        <v>74</v>
      </c>
      <c r="BI565">
        <v>1</v>
      </c>
      <c r="BJ565" t="s">
        <v>3201</v>
      </c>
      <c r="BK565" t="s">
        <v>3202</v>
      </c>
      <c r="BL565" t="s">
        <v>3203</v>
      </c>
      <c r="BM565" t="s">
        <v>7802</v>
      </c>
      <c r="BN565" t="s">
        <v>74</v>
      </c>
      <c r="BO565" t="s">
        <v>74</v>
      </c>
      <c r="BP565" t="s">
        <v>74</v>
      </c>
      <c r="BQ565" t="s">
        <v>74</v>
      </c>
      <c r="BR565" t="s">
        <v>91</v>
      </c>
      <c r="BS565" t="s">
        <v>7803</v>
      </c>
      <c r="BT565" t="str">
        <f>HYPERLINK("https%3A%2F%2Fwww.webofscience.com%2Fwos%2Fwoscc%2Ffull-record%2FWOS:000168825800030","View Full Record in Web of Science")</f>
        <v>View Full Record in Web of Science</v>
      </c>
    </row>
    <row r="566" spans="1:72" x14ac:dyDescent="0.15">
      <c r="A566" t="s">
        <v>72</v>
      </c>
      <c r="B566" t="s">
        <v>7804</v>
      </c>
      <c r="C566" t="s">
        <v>74</v>
      </c>
      <c r="D566" t="s">
        <v>74</v>
      </c>
      <c r="E566" t="s">
        <v>74</v>
      </c>
      <c r="F566" t="s">
        <v>7804</v>
      </c>
      <c r="G566" t="s">
        <v>74</v>
      </c>
      <c r="H566" t="s">
        <v>74</v>
      </c>
      <c r="I566" t="s">
        <v>7805</v>
      </c>
      <c r="J566" t="s">
        <v>6505</v>
      </c>
      <c r="K566" t="s">
        <v>74</v>
      </c>
      <c r="L566" t="s">
        <v>74</v>
      </c>
      <c r="M566" t="s">
        <v>77</v>
      </c>
      <c r="N566" t="s">
        <v>120</v>
      </c>
      <c r="O566" t="s">
        <v>74</v>
      </c>
      <c r="P566" t="s">
        <v>74</v>
      </c>
      <c r="Q566" t="s">
        <v>74</v>
      </c>
      <c r="R566" t="s">
        <v>74</v>
      </c>
      <c r="S566" t="s">
        <v>74</v>
      </c>
      <c r="T566" t="s">
        <v>74</v>
      </c>
      <c r="U566" t="s">
        <v>7806</v>
      </c>
      <c r="V566" t="s">
        <v>7807</v>
      </c>
      <c r="W566" t="s">
        <v>7808</v>
      </c>
      <c r="X566" t="s">
        <v>7809</v>
      </c>
      <c r="Y566" t="s">
        <v>7810</v>
      </c>
      <c r="Z566" t="s">
        <v>5746</v>
      </c>
      <c r="AA566" t="s">
        <v>74</v>
      </c>
      <c r="AB566" t="s">
        <v>74</v>
      </c>
      <c r="AC566" t="s">
        <v>74</v>
      </c>
      <c r="AD566" t="s">
        <v>74</v>
      </c>
      <c r="AE566" t="s">
        <v>74</v>
      </c>
      <c r="AF566" t="s">
        <v>74</v>
      </c>
      <c r="AG566">
        <v>77</v>
      </c>
      <c r="AH566">
        <v>41</v>
      </c>
      <c r="AI566">
        <v>43</v>
      </c>
      <c r="AJ566">
        <v>0</v>
      </c>
      <c r="AK566">
        <v>7</v>
      </c>
      <c r="AL566" t="s">
        <v>6513</v>
      </c>
      <c r="AM566" t="s">
        <v>7811</v>
      </c>
      <c r="AN566" t="s">
        <v>7812</v>
      </c>
      <c r="AO566" t="s">
        <v>6514</v>
      </c>
      <c r="AP566" t="s">
        <v>7813</v>
      </c>
      <c r="AQ566" t="s">
        <v>74</v>
      </c>
      <c r="AR566" t="s">
        <v>6515</v>
      </c>
      <c r="AS566" t="s">
        <v>6516</v>
      </c>
      <c r="AT566" t="s">
        <v>7814</v>
      </c>
      <c r="AU566">
        <v>2001</v>
      </c>
      <c r="AV566">
        <v>14</v>
      </c>
      <c r="AW566">
        <v>2</v>
      </c>
      <c r="AX566" t="s">
        <v>74</v>
      </c>
      <c r="AY566" t="s">
        <v>74</v>
      </c>
      <c r="AZ566" t="s">
        <v>74</v>
      </c>
      <c r="BA566" t="s">
        <v>74</v>
      </c>
      <c r="BB566">
        <v>207</v>
      </c>
      <c r="BC566">
        <v>230</v>
      </c>
      <c r="BD566" t="s">
        <v>74</v>
      </c>
      <c r="BE566" t="s">
        <v>7815</v>
      </c>
      <c r="BF566" t="str">
        <f>HYPERLINK("http://dx.doi.org/10.1071/SB00022","http://dx.doi.org/10.1071/SB00022")</f>
        <v>http://dx.doi.org/10.1071/SB00022</v>
      </c>
      <c r="BG566" t="s">
        <v>74</v>
      </c>
      <c r="BH566" t="s">
        <v>74</v>
      </c>
      <c r="BI566">
        <v>24</v>
      </c>
      <c r="BJ566" t="s">
        <v>6519</v>
      </c>
      <c r="BK566" t="s">
        <v>88</v>
      </c>
      <c r="BL566" t="s">
        <v>6519</v>
      </c>
      <c r="BM566" t="s">
        <v>7816</v>
      </c>
      <c r="BN566" t="s">
        <v>74</v>
      </c>
      <c r="BO566" t="s">
        <v>74</v>
      </c>
      <c r="BP566" t="s">
        <v>74</v>
      </c>
      <c r="BQ566" t="s">
        <v>74</v>
      </c>
      <c r="BR566" t="s">
        <v>91</v>
      </c>
      <c r="BS566" t="s">
        <v>7817</v>
      </c>
      <c r="BT566" t="str">
        <f>HYPERLINK("https%3A%2F%2Fwww.webofscience.com%2Fwos%2Fwoscc%2Ffull-record%2FWOS:000168713800004","View Full Record in Web of Science")</f>
        <v>View Full Record in Web of Science</v>
      </c>
    </row>
    <row r="567" spans="1:72" x14ac:dyDescent="0.15">
      <c r="A567" t="s">
        <v>72</v>
      </c>
      <c r="B567" t="s">
        <v>2850</v>
      </c>
      <c r="C567" t="s">
        <v>74</v>
      </c>
      <c r="D567" t="s">
        <v>74</v>
      </c>
      <c r="E567" t="s">
        <v>74</v>
      </c>
      <c r="F567" t="s">
        <v>2850</v>
      </c>
      <c r="G567" t="s">
        <v>74</v>
      </c>
      <c r="H567" t="s">
        <v>74</v>
      </c>
      <c r="I567" t="s">
        <v>7818</v>
      </c>
      <c r="J567" t="s">
        <v>522</v>
      </c>
      <c r="K567" t="s">
        <v>74</v>
      </c>
      <c r="L567" t="s">
        <v>74</v>
      </c>
      <c r="M567" t="s">
        <v>77</v>
      </c>
      <c r="N567" t="s">
        <v>120</v>
      </c>
      <c r="O567" t="s">
        <v>74</v>
      </c>
      <c r="P567" t="s">
        <v>74</v>
      </c>
      <c r="Q567" t="s">
        <v>74</v>
      </c>
      <c r="R567" t="s">
        <v>74</v>
      </c>
      <c r="S567" t="s">
        <v>74</v>
      </c>
      <c r="T567" t="s">
        <v>74</v>
      </c>
      <c r="U567" t="s">
        <v>7819</v>
      </c>
      <c r="V567" t="s">
        <v>7820</v>
      </c>
      <c r="W567" t="s">
        <v>7821</v>
      </c>
      <c r="X567" t="s">
        <v>2857</v>
      </c>
      <c r="Y567" t="s">
        <v>7822</v>
      </c>
      <c r="Z567" t="s">
        <v>7823</v>
      </c>
      <c r="AA567" t="s">
        <v>74</v>
      </c>
      <c r="AB567" t="s">
        <v>2859</v>
      </c>
      <c r="AC567" t="s">
        <v>74</v>
      </c>
      <c r="AD567" t="s">
        <v>74</v>
      </c>
      <c r="AE567" t="s">
        <v>74</v>
      </c>
      <c r="AF567" t="s">
        <v>74</v>
      </c>
      <c r="AG567">
        <v>27</v>
      </c>
      <c r="AH567">
        <v>12</v>
      </c>
      <c r="AI567">
        <v>14</v>
      </c>
      <c r="AJ567">
        <v>0</v>
      </c>
      <c r="AK567">
        <v>9</v>
      </c>
      <c r="AL567" t="s">
        <v>149</v>
      </c>
      <c r="AM567" t="s">
        <v>150</v>
      </c>
      <c r="AN567" t="s">
        <v>151</v>
      </c>
      <c r="AO567" t="s">
        <v>531</v>
      </c>
      <c r="AP567" t="s">
        <v>532</v>
      </c>
      <c r="AQ567" t="s">
        <v>74</v>
      </c>
      <c r="AR567" t="s">
        <v>533</v>
      </c>
      <c r="AS567" t="s">
        <v>534</v>
      </c>
      <c r="AT567" t="s">
        <v>7824</v>
      </c>
      <c r="AU567">
        <v>2001</v>
      </c>
      <c r="AV567">
        <v>106</v>
      </c>
      <c r="AW567" t="s">
        <v>7825</v>
      </c>
      <c r="AX567" t="s">
        <v>74</v>
      </c>
      <c r="AY567" t="s">
        <v>74</v>
      </c>
      <c r="AZ567" t="s">
        <v>74</v>
      </c>
      <c r="BA567" t="s">
        <v>74</v>
      </c>
      <c r="BB567">
        <v>9653</v>
      </c>
      <c r="BC567">
        <v>9659</v>
      </c>
      <c r="BD567" t="s">
        <v>74</v>
      </c>
      <c r="BE567" t="s">
        <v>7826</v>
      </c>
      <c r="BF567" t="str">
        <f>HYPERLINK("http://dx.doi.org/10.1029/2000JD900835","http://dx.doi.org/10.1029/2000JD900835")</f>
        <v>http://dx.doi.org/10.1029/2000JD900835</v>
      </c>
      <c r="BG567" t="s">
        <v>74</v>
      </c>
      <c r="BH567" t="s">
        <v>74</v>
      </c>
      <c r="BI567">
        <v>7</v>
      </c>
      <c r="BJ567" t="s">
        <v>538</v>
      </c>
      <c r="BK567" t="s">
        <v>88</v>
      </c>
      <c r="BL567" t="s">
        <v>538</v>
      </c>
      <c r="BM567" t="s">
        <v>7827</v>
      </c>
      <c r="BN567" t="s">
        <v>74</v>
      </c>
      <c r="BO567" t="s">
        <v>74</v>
      </c>
      <c r="BP567" t="s">
        <v>74</v>
      </c>
      <c r="BQ567" t="s">
        <v>74</v>
      </c>
      <c r="BR567" t="s">
        <v>91</v>
      </c>
      <c r="BS567" t="s">
        <v>7828</v>
      </c>
      <c r="BT567" t="str">
        <f>HYPERLINK("https%3A%2F%2Fwww.webofscience.com%2Fwos%2Fwoscc%2Ffull-record%2FWOS:000168731900002","View Full Record in Web of Science")</f>
        <v>View Full Record in Web of Science</v>
      </c>
    </row>
    <row r="568" spans="1:72" x14ac:dyDescent="0.15">
      <c r="A568" t="s">
        <v>72</v>
      </c>
      <c r="B568" t="s">
        <v>7829</v>
      </c>
      <c r="C568" t="s">
        <v>74</v>
      </c>
      <c r="D568" t="s">
        <v>74</v>
      </c>
      <c r="E568" t="s">
        <v>74</v>
      </c>
      <c r="F568" t="s">
        <v>7829</v>
      </c>
      <c r="G568" t="s">
        <v>74</v>
      </c>
      <c r="H568" t="s">
        <v>74</v>
      </c>
      <c r="I568" t="s">
        <v>7830</v>
      </c>
      <c r="J568" t="s">
        <v>478</v>
      </c>
      <c r="K568" t="s">
        <v>74</v>
      </c>
      <c r="L568" t="s">
        <v>74</v>
      </c>
      <c r="M568" t="s">
        <v>77</v>
      </c>
      <c r="N568" t="s">
        <v>120</v>
      </c>
      <c r="O568" t="s">
        <v>74</v>
      </c>
      <c r="P568" t="s">
        <v>74</v>
      </c>
      <c r="Q568" t="s">
        <v>74</v>
      </c>
      <c r="R568" t="s">
        <v>74</v>
      </c>
      <c r="S568" t="s">
        <v>74</v>
      </c>
      <c r="T568" t="s">
        <v>7831</v>
      </c>
      <c r="U568" t="s">
        <v>7832</v>
      </c>
      <c r="V568" t="s">
        <v>7833</v>
      </c>
      <c r="W568" t="s">
        <v>7834</v>
      </c>
      <c r="X568" t="s">
        <v>7835</v>
      </c>
      <c r="Y568" t="s">
        <v>7836</v>
      </c>
      <c r="Z568" t="s">
        <v>7837</v>
      </c>
      <c r="AA568" t="s">
        <v>74</v>
      </c>
      <c r="AB568" t="s">
        <v>7838</v>
      </c>
      <c r="AC568" t="s">
        <v>74</v>
      </c>
      <c r="AD568" t="s">
        <v>74</v>
      </c>
      <c r="AE568" t="s">
        <v>74</v>
      </c>
      <c r="AF568" t="s">
        <v>74</v>
      </c>
      <c r="AG568">
        <v>39</v>
      </c>
      <c r="AH568">
        <v>113</v>
      </c>
      <c r="AI568">
        <v>121</v>
      </c>
      <c r="AJ568">
        <v>3</v>
      </c>
      <c r="AK568">
        <v>14</v>
      </c>
      <c r="AL568" t="s">
        <v>488</v>
      </c>
      <c r="AM568" t="s">
        <v>350</v>
      </c>
      <c r="AN568" t="s">
        <v>489</v>
      </c>
      <c r="AO568" t="s">
        <v>490</v>
      </c>
      <c r="AP568" t="s">
        <v>491</v>
      </c>
      <c r="AQ568" t="s">
        <v>74</v>
      </c>
      <c r="AR568" t="s">
        <v>492</v>
      </c>
      <c r="AS568" t="s">
        <v>493</v>
      </c>
      <c r="AT568" t="s">
        <v>7839</v>
      </c>
      <c r="AU568">
        <v>2001</v>
      </c>
      <c r="AV568">
        <v>187</v>
      </c>
      <c r="AW568" t="s">
        <v>451</v>
      </c>
      <c r="AX568" t="s">
        <v>74</v>
      </c>
      <c r="AY568" t="s">
        <v>74</v>
      </c>
      <c r="AZ568" t="s">
        <v>74</v>
      </c>
      <c r="BA568" t="s">
        <v>74</v>
      </c>
      <c r="BB568">
        <v>311</v>
      </c>
      <c r="BC568">
        <v>321</v>
      </c>
      <c r="BD568" t="s">
        <v>74</v>
      </c>
      <c r="BE568" t="s">
        <v>7840</v>
      </c>
      <c r="BF568" t="str">
        <f>HYPERLINK("http://dx.doi.org/10.1016/S0012-821X(01)00267-9","http://dx.doi.org/10.1016/S0012-821X(01)00267-9")</f>
        <v>http://dx.doi.org/10.1016/S0012-821X(01)00267-9</v>
      </c>
      <c r="BG568" t="s">
        <v>74</v>
      </c>
      <c r="BH568" t="s">
        <v>74</v>
      </c>
      <c r="BI568">
        <v>11</v>
      </c>
      <c r="BJ568" t="s">
        <v>388</v>
      </c>
      <c r="BK568" t="s">
        <v>88</v>
      </c>
      <c r="BL568" t="s">
        <v>388</v>
      </c>
      <c r="BM568" t="s">
        <v>7841</v>
      </c>
      <c r="BN568" t="s">
        <v>74</v>
      </c>
      <c r="BO568" t="s">
        <v>74</v>
      </c>
      <c r="BP568" t="s">
        <v>74</v>
      </c>
      <c r="BQ568" t="s">
        <v>74</v>
      </c>
      <c r="BR568" t="s">
        <v>91</v>
      </c>
      <c r="BS568" t="s">
        <v>7842</v>
      </c>
      <c r="BT568" t="str">
        <f>HYPERLINK("https%3A%2F%2Fwww.webofscience.com%2Fwos%2Fwoscc%2Ffull-record%2FWOS:000168799600007","View Full Record in Web of Science")</f>
        <v>View Full Record in Web of Science</v>
      </c>
    </row>
    <row r="569" spans="1:72" x14ac:dyDescent="0.15">
      <c r="A569" t="s">
        <v>72</v>
      </c>
      <c r="B569" t="s">
        <v>7843</v>
      </c>
      <c r="C569" t="s">
        <v>74</v>
      </c>
      <c r="D569" t="s">
        <v>74</v>
      </c>
      <c r="E569" t="s">
        <v>74</v>
      </c>
      <c r="F569" t="s">
        <v>7843</v>
      </c>
      <c r="G569" t="s">
        <v>74</v>
      </c>
      <c r="H569" t="s">
        <v>74</v>
      </c>
      <c r="I569" t="s">
        <v>7844</v>
      </c>
      <c r="J569" t="s">
        <v>478</v>
      </c>
      <c r="K569" t="s">
        <v>74</v>
      </c>
      <c r="L569" t="s">
        <v>74</v>
      </c>
      <c r="M569" t="s">
        <v>77</v>
      </c>
      <c r="N569" t="s">
        <v>120</v>
      </c>
      <c r="O569" t="s">
        <v>74</v>
      </c>
      <c r="P569" t="s">
        <v>74</v>
      </c>
      <c r="Q569" t="s">
        <v>74</v>
      </c>
      <c r="R569" t="s">
        <v>74</v>
      </c>
      <c r="S569" t="s">
        <v>74</v>
      </c>
      <c r="T569" t="s">
        <v>7845</v>
      </c>
      <c r="U569" t="s">
        <v>7846</v>
      </c>
      <c r="V569" t="s">
        <v>7847</v>
      </c>
      <c r="W569" t="s">
        <v>7848</v>
      </c>
      <c r="X569" t="s">
        <v>7849</v>
      </c>
      <c r="Y569" t="s">
        <v>7850</v>
      </c>
      <c r="Z569" t="s">
        <v>74</v>
      </c>
      <c r="AA569" t="s">
        <v>74</v>
      </c>
      <c r="AB569" t="s">
        <v>74</v>
      </c>
      <c r="AC569" t="s">
        <v>74</v>
      </c>
      <c r="AD569" t="s">
        <v>74</v>
      </c>
      <c r="AE569" t="s">
        <v>74</v>
      </c>
      <c r="AF569" t="s">
        <v>74</v>
      </c>
      <c r="AG569">
        <v>45</v>
      </c>
      <c r="AH569">
        <v>23</v>
      </c>
      <c r="AI569">
        <v>29</v>
      </c>
      <c r="AJ569">
        <v>0</v>
      </c>
      <c r="AK569">
        <v>13</v>
      </c>
      <c r="AL569" t="s">
        <v>488</v>
      </c>
      <c r="AM569" t="s">
        <v>350</v>
      </c>
      <c r="AN569" t="s">
        <v>489</v>
      </c>
      <c r="AO569" t="s">
        <v>490</v>
      </c>
      <c r="AP569" t="s">
        <v>74</v>
      </c>
      <c r="AQ569" t="s">
        <v>74</v>
      </c>
      <c r="AR569" t="s">
        <v>492</v>
      </c>
      <c r="AS569" t="s">
        <v>493</v>
      </c>
      <c r="AT569" t="s">
        <v>7839</v>
      </c>
      <c r="AU569">
        <v>2001</v>
      </c>
      <c r="AV569">
        <v>187</v>
      </c>
      <c r="AW569" t="s">
        <v>451</v>
      </c>
      <c r="AX569" t="s">
        <v>74</v>
      </c>
      <c r="AY569" t="s">
        <v>74</v>
      </c>
      <c r="AZ569" t="s">
        <v>74</v>
      </c>
      <c r="BA569" t="s">
        <v>74</v>
      </c>
      <c r="BB569">
        <v>345</v>
      </c>
      <c r="BC569">
        <v>356</v>
      </c>
      <c r="BD569" t="s">
        <v>74</v>
      </c>
      <c r="BE569" t="s">
        <v>7851</v>
      </c>
      <c r="BF569" t="str">
        <f>HYPERLINK("http://dx.doi.org/10.1016/S0012-821X(01)00297-7","http://dx.doi.org/10.1016/S0012-821X(01)00297-7")</f>
        <v>http://dx.doi.org/10.1016/S0012-821X(01)00297-7</v>
      </c>
      <c r="BG569" t="s">
        <v>74</v>
      </c>
      <c r="BH569" t="s">
        <v>74</v>
      </c>
      <c r="BI569">
        <v>12</v>
      </c>
      <c r="BJ569" t="s">
        <v>388</v>
      </c>
      <c r="BK569" t="s">
        <v>88</v>
      </c>
      <c r="BL569" t="s">
        <v>388</v>
      </c>
      <c r="BM569" t="s">
        <v>7841</v>
      </c>
      <c r="BN569" t="s">
        <v>74</v>
      </c>
      <c r="BO569" t="s">
        <v>74</v>
      </c>
      <c r="BP569" t="s">
        <v>74</v>
      </c>
      <c r="BQ569" t="s">
        <v>74</v>
      </c>
      <c r="BR569" t="s">
        <v>91</v>
      </c>
      <c r="BS569" t="s">
        <v>7852</v>
      </c>
      <c r="BT569" t="str">
        <f>HYPERLINK("https%3A%2F%2Fwww.webofscience.com%2Fwos%2Fwoscc%2Ffull-record%2FWOS:000168799600010","View Full Record in Web of Science")</f>
        <v>View Full Record in Web of Science</v>
      </c>
    </row>
    <row r="570" spans="1:72" x14ac:dyDescent="0.15">
      <c r="A570" t="s">
        <v>72</v>
      </c>
      <c r="B570" t="s">
        <v>7853</v>
      </c>
      <c r="C570" t="s">
        <v>74</v>
      </c>
      <c r="D570" t="s">
        <v>74</v>
      </c>
      <c r="E570" t="s">
        <v>74</v>
      </c>
      <c r="F570" t="s">
        <v>7853</v>
      </c>
      <c r="G570" t="s">
        <v>74</v>
      </c>
      <c r="H570" t="s">
        <v>74</v>
      </c>
      <c r="I570" t="s">
        <v>7854</v>
      </c>
      <c r="J570" t="s">
        <v>613</v>
      </c>
      <c r="K570" t="s">
        <v>74</v>
      </c>
      <c r="L570" t="s">
        <v>74</v>
      </c>
      <c r="M570" t="s">
        <v>77</v>
      </c>
      <c r="N570" t="s">
        <v>120</v>
      </c>
      <c r="O570" t="s">
        <v>74</v>
      </c>
      <c r="P570" t="s">
        <v>74</v>
      </c>
      <c r="Q570" t="s">
        <v>74</v>
      </c>
      <c r="R570" t="s">
        <v>74</v>
      </c>
      <c r="S570" t="s">
        <v>74</v>
      </c>
      <c r="T570" t="s">
        <v>74</v>
      </c>
      <c r="U570" t="s">
        <v>7855</v>
      </c>
      <c r="V570" t="s">
        <v>7856</v>
      </c>
      <c r="W570" t="s">
        <v>7857</v>
      </c>
      <c r="X570" t="s">
        <v>7858</v>
      </c>
      <c r="Y570" t="s">
        <v>7859</v>
      </c>
      <c r="Z570" t="s">
        <v>74</v>
      </c>
      <c r="AA570" t="s">
        <v>5063</v>
      </c>
      <c r="AB570" t="s">
        <v>5064</v>
      </c>
      <c r="AC570" t="s">
        <v>74</v>
      </c>
      <c r="AD570" t="s">
        <v>74</v>
      </c>
      <c r="AE570" t="s">
        <v>74</v>
      </c>
      <c r="AF570" t="s">
        <v>74</v>
      </c>
      <c r="AG570">
        <v>18</v>
      </c>
      <c r="AH570">
        <v>70</v>
      </c>
      <c r="AI570">
        <v>81</v>
      </c>
      <c r="AJ570">
        <v>0</v>
      </c>
      <c r="AK570">
        <v>12</v>
      </c>
      <c r="AL570" t="s">
        <v>149</v>
      </c>
      <c r="AM570" t="s">
        <v>150</v>
      </c>
      <c r="AN570" t="s">
        <v>151</v>
      </c>
      <c r="AO570" t="s">
        <v>619</v>
      </c>
      <c r="AP570" t="s">
        <v>74</v>
      </c>
      <c r="AQ570" t="s">
        <v>74</v>
      </c>
      <c r="AR570" t="s">
        <v>620</v>
      </c>
      <c r="AS570" t="s">
        <v>621</v>
      </c>
      <c r="AT570" t="s">
        <v>7839</v>
      </c>
      <c r="AU570">
        <v>2001</v>
      </c>
      <c r="AV570">
        <v>28</v>
      </c>
      <c r="AW570">
        <v>10</v>
      </c>
      <c r="AX570" t="s">
        <v>74</v>
      </c>
      <c r="AY570" t="s">
        <v>74</v>
      </c>
      <c r="AZ570" t="s">
        <v>74</v>
      </c>
      <c r="BA570" t="s">
        <v>74</v>
      </c>
      <c r="BB570">
        <v>1941</v>
      </c>
      <c r="BC570">
        <v>1944</v>
      </c>
      <c r="BD570" t="s">
        <v>74</v>
      </c>
      <c r="BE570" t="s">
        <v>7860</v>
      </c>
      <c r="BF570" t="str">
        <f>HYPERLINK("http://dx.doi.org/10.1029/2000GL012784","http://dx.doi.org/10.1029/2000GL012784")</f>
        <v>http://dx.doi.org/10.1029/2000GL012784</v>
      </c>
      <c r="BG570" t="s">
        <v>74</v>
      </c>
      <c r="BH570" t="s">
        <v>74</v>
      </c>
      <c r="BI570">
        <v>4</v>
      </c>
      <c r="BJ570" t="s">
        <v>300</v>
      </c>
      <c r="BK570" t="s">
        <v>88</v>
      </c>
      <c r="BL570" t="s">
        <v>113</v>
      </c>
      <c r="BM570" t="s">
        <v>7861</v>
      </c>
      <c r="BN570" t="s">
        <v>74</v>
      </c>
      <c r="BO570" t="s">
        <v>171</v>
      </c>
      <c r="BP570" t="s">
        <v>74</v>
      </c>
      <c r="BQ570" t="s">
        <v>74</v>
      </c>
      <c r="BR570" t="s">
        <v>91</v>
      </c>
      <c r="BS570" t="s">
        <v>7862</v>
      </c>
      <c r="BT570" t="str">
        <f>HYPERLINK("https%3A%2F%2Fwww.webofscience.com%2Fwos%2Fwoscc%2Ffull-record%2FWOS:000168617900010","View Full Record in Web of Science")</f>
        <v>View Full Record in Web of Science</v>
      </c>
    </row>
    <row r="571" spans="1:72" x14ac:dyDescent="0.15">
      <c r="A571" t="s">
        <v>72</v>
      </c>
      <c r="B571" t="s">
        <v>7863</v>
      </c>
      <c r="C571" t="s">
        <v>74</v>
      </c>
      <c r="D571" t="s">
        <v>74</v>
      </c>
      <c r="E571" t="s">
        <v>74</v>
      </c>
      <c r="F571" t="s">
        <v>7863</v>
      </c>
      <c r="G571" t="s">
        <v>74</v>
      </c>
      <c r="H571" t="s">
        <v>74</v>
      </c>
      <c r="I571" t="s">
        <v>7864</v>
      </c>
      <c r="J571" t="s">
        <v>613</v>
      </c>
      <c r="K571" t="s">
        <v>74</v>
      </c>
      <c r="L571" t="s">
        <v>74</v>
      </c>
      <c r="M571" t="s">
        <v>77</v>
      </c>
      <c r="N571" t="s">
        <v>120</v>
      </c>
      <c r="O571" t="s">
        <v>74</v>
      </c>
      <c r="P571" t="s">
        <v>74</v>
      </c>
      <c r="Q571" t="s">
        <v>74</v>
      </c>
      <c r="R571" t="s">
        <v>74</v>
      </c>
      <c r="S571" t="s">
        <v>74</v>
      </c>
      <c r="T571" t="s">
        <v>74</v>
      </c>
      <c r="U571" t="s">
        <v>7865</v>
      </c>
      <c r="V571" t="s">
        <v>7866</v>
      </c>
      <c r="W571" t="s">
        <v>7867</v>
      </c>
      <c r="X571" t="s">
        <v>7868</v>
      </c>
      <c r="Y571" t="s">
        <v>7869</v>
      </c>
      <c r="Z571" t="s">
        <v>74</v>
      </c>
      <c r="AA571" t="s">
        <v>7870</v>
      </c>
      <c r="AB571" t="s">
        <v>7871</v>
      </c>
      <c r="AC571" t="s">
        <v>74</v>
      </c>
      <c r="AD571" t="s">
        <v>74</v>
      </c>
      <c r="AE571" t="s">
        <v>74</v>
      </c>
      <c r="AF571" t="s">
        <v>74</v>
      </c>
      <c r="AG571">
        <v>24</v>
      </c>
      <c r="AH571">
        <v>30</v>
      </c>
      <c r="AI571">
        <v>34</v>
      </c>
      <c r="AJ571">
        <v>0</v>
      </c>
      <c r="AK571">
        <v>1</v>
      </c>
      <c r="AL571" t="s">
        <v>149</v>
      </c>
      <c r="AM571" t="s">
        <v>150</v>
      </c>
      <c r="AN571" t="s">
        <v>151</v>
      </c>
      <c r="AO571" t="s">
        <v>619</v>
      </c>
      <c r="AP571" t="s">
        <v>74</v>
      </c>
      <c r="AQ571" t="s">
        <v>74</v>
      </c>
      <c r="AR571" t="s">
        <v>620</v>
      </c>
      <c r="AS571" t="s">
        <v>621</v>
      </c>
      <c r="AT571" t="s">
        <v>7839</v>
      </c>
      <c r="AU571">
        <v>2001</v>
      </c>
      <c r="AV571">
        <v>28</v>
      </c>
      <c r="AW571">
        <v>10</v>
      </c>
      <c r="AX571" t="s">
        <v>74</v>
      </c>
      <c r="AY571" t="s">
        <v>74</v>
      </c>
      <c r="AZ571" t="s">
        <v>74</v>
      </c>
      <c r="BA571" t="s">
        <v>74</v>
      </c>
      <c r="BB571">
        <v>1953</v>
      </c>
      <c r="BC571">
        <v>1956</v>
      </c>
      <c r="BD571" t="s">
        <v>74</v>
      </c>
      <c r="BE571" t="s">
        <v>7872</v>
      </c>
      <c r="BF571" t="str">
        <f>HYPERLINK("http://dx.doi.org/10.1029/2000GL012207","http://dx.doi.org/10.1029/2000GL012207")</f>
        <v>http://dx.doi.org/10.1029/2000GL012207</v>
      </c>
      <c r="BG571" t="s">
        <v>74</v>
      </c>
      <c r="BH571" t="s">
        <v>74</v>
      </c>
      <c r="BI571">
        <v>4</v>
      </c>
      <c r="BJ571" t="s">
        <v>300</v>
      </c>
      <c r="BK571" t="s">
        <v>88</v>
      </c>
      <c r="BL571" t="s">
        <v>113</v>
      </c>
      <c r="BM571" t="s">
        <v>7861</v>
      </c>
      <c r="BN571" t="s">
        <v>74</v>
      </c>
      <c r="BO571" t="s">
        <v>171</v>
      </c>
      <c r="BP571" t="s">
        <v>74</v>
      </c>
      <c r="BQ571" t="s">
        <v>74</v>
      </c>
      <c r="BR571" t="s">
        <v>91</v>
      </c>
      <c r="BS571" t="s">
        <v>7873</v>
      </c>
      <c r="BT571" t="str">
        <f>HYPERLINK("https%3A%2F%2Fwww.webofscience.com%2Fwos%2Fwoscc%2Ffull-record%2FWOS:000168617900013","View Full Record in Web of Science")</f>
        <v>View Full Record in Web of Science</v>
      </c>
    </row>
    <row r="572" spans="1:72" x14ac:dyDescent="0.15">
      <c r="A572" t="s">
        <v>72</v>
      </c>
      <c r="B572" t="s">
        <v>7874</v>
      </c>
      <c r="C572" t="s">
        <v>74</v>
      </c>
      <c r="D572" t="s">
        <v>74</v>
      </c>
      <c r="E572" t="s">
        <v>74</v>
      </c>
      <c r="F572" t="s">
        <v>7874</v>
      </c>
      <c r="G572" t="s">
        <v>74</v>
      </c>
      <c r="H572" t="s">
        <v>74</v>
      </c>
      <c r="I572" t="s">
        <v>7875</v>
      </c>
      <c r="J572" t="s">
        <v>613</v>
      </c>
      <c r="K572" t="s">
        <v>74</v>
      </c>
      <c r="L572" t="s">
        <v>74</v>
      </c>
      <c r="M572" t="s">
        <v>77</v>
      </c>
      <c r="N572" t="s">
        <v>120</v>
      </c>
      <c r="O572" t="s">
        <v>74</v>
      </c>
      <c r="P572" t="s">
        <v>74</v>
      </c>
      <c r="Q572" t="s">
        <v>74</v>
      </c>
      <c r="R572" t="s">
        <v>74</v>
      </c>
      <c r="S572" t="s">
        <v>74</v>
      </c>
      <c r="T572" t="s">
        <v>74</v>
      </c>
      <c r="U572" t="s">
        <v>7876</v>
      </c>
      <c r="V572" t="s">
        <v>7877</v>
      </c>
      <c r="W572" t="s">
        <v>7878</v>
      </c>
      <c r="X572" t="s">
        <v>7879</v>
      </c>
      <c r="Y572" t="s">
        <v>7880</v>
      </c>
      <c r="Z572" t="s">
        <v>74</v>
      </c>
      <c r="AA572" t="s">
        <v>7881</v>
      </c>
      <c r="AB572" t="s">
        <v>7882</v>
      </c>
      <c r="AC572" t="s">
        <v>74</v>
      </c>
      <c r="AD572" t="s">
        <v>74</v>
      </c>
      <c r="AE572" t="s">
        <v>74</v>
      </c>
      <c r="AF572" t="s">
        <v>74</v>
      </c>
      <c r="AG572">
        <v>9</v>
      </c>
      <c r="AH572">
        <v>2</v>
      </c>
      <c r="AI572">
        <v>2</v>
      </c>
      <c r="AJ572">
        <v>0</v>
      </c>
      <c r="AK572">
        <v>0</v>
      </c>
      <c r="AL572" t="s">
        <v>149</v>
      </c>
      <c r="AM572" t="s">
        <v>150</v>
      </c>
      <c r="AN572" t="s">
        <v>151</v>
      </c>
      <c r="AO572" t="s">
        <v>619</v>
      </c>
      <c r="AP572" t="s">
        <v>74</v>
      </c>
      <c r="AQ572" t="s">
        <v>74</v>
      </c>
      <c r="AR572" t="s">
        <v>620</v>
      </c>
      <c r="AS572" t="s">
        <v>621</v>
      </c>
      <c r="AT572" t="s">
        <v>7839</v>
      </c>
      <c r="AU572">
        <v>2001</v>
      </c>
      <c r="AV572">
        <v>28</v>
      </c>
      <c r="AW572">
        <v>10</v>
      </c>
      <c r="AX572" t="s">
        <v>74</v>
      </c>
      <c r="AY572" t="s">
        <v>74</v>
      </c>
      <c r="AZ572" t="s">
        <v>74</v>
      </c>
      <c r="BA572" t="s">
        <v>74</v>
      </c>
      <c r="BB572">
        <v>2049</v>
      </c>
      <c r="BC572">
        <v>2052</v>
      </c>
      <c r="BD572" t="s">
        <v>74</v>
      </c>
      <c r="BE572" t="s">
        <v>7883</v>
      </c>
      <c r="BF572" t="str">
        <f>HYPERLINK("http://dx.doi.org/10.1029/2000GL012459","http://dx.doi.org/10.1029/2000GL012459")</f>
        <v>http://dx.doi.org/10.1029/2000GL012459</v>
      </c>
      <c r="BG572" t="s">
        <v>74</v>
      </c>
      <c r="BH572" t="s">
        <v>74</v>
      </c>
      <c r="BI572">
        <v>4</v>
      </c>
      <c r="BJ572" t="s">
        <v>300</v>
      </c>
      <c r="BK572" t="s">
        <v>88</v>
      </c>
      <c r="BL572" t="s">
        <v>113</v>
      </c>
      <c r="BM572" t="s">
        <v>7861</v>
      </c>
      <c r="BN572" t="s">
        <v>74</v>
      </c>
      <c r="BO572" t="s">
        <v>171</v>
      </c>
      <c r="BP572" t="s">
        <v>74</v>
      </c>
      <c r="BQ572" t="s">
        <v>74</v>
      </c>
      <c r="BR572" t="s">
        <v>91</v>
      </c>
      <c r="BS572" t="s">
        <v>7884</v>
      </c>
      <c r="BT572" t="str">
        <f>HYPERLINK("https%3A%2F%2Fwww.webofscience.com%2Fwos%2Fwoscc%2Ffull-record%2FWOS:000168617900039","View Full Record in Web of Science")</f>
        <v>View Full Record in Web of Science</v>
      </c>
    </row>
    <row r="573" spans="1:72" x14ac:dyDescent="0.15">
      <c r="A573" t="s">
        <v>72</v>
      </c>
      <c r="B573" t="s">
        <v>7885</v>
      </c>
      <c r="C573" t="s">
        <v>74</v>
      </c>
      <c r="D573" t="s">
        <v>74</v>
      </c>
      <c r="E573" t="s">
        <v>74</v>
      </c>
      <c r="F573" t="s">
        <v>7885</v>
      </c>
      <c r="G573" t="s">
        <v>74</v>
      </c>
      <c r="H573" t="s">
        <v>74</v>
      </c>
      <c r="I573" t="s">
        <v>7886</v>
      </c>
      <c r="J573" t="s">
        <v>613</v>
      </c>
      <c r="K573" t="s">
        <v>74</v>
      </c>
      <c r="L573" t="s">
        <v>74</v>
      </c>
      <c r="M573" t="s">
        <v>77</v>
      </c>
      <c r="N573" t="s">
        <v>120</v>
      </c>
      <c r="O573" t="s">
        <v>74</v>
      </c>
      <c r="P573" t="s">
        <v>74</v>
      </c>
      <c r="Q573" t="s">
        <v>74</v>
      </c>
      <c r="R573" t="s">
        <v>74</v>
      </c>
      <c r="S573" t="s">
        <v>74</v>
      </c>
      <c r="T573" t="s">
        <v>74</v>
      </c>
      <c r="U573" t="s">
        <v>7887</v>
      </c>
      <c r="V573" t="s">
        <v>7888</v>
      </c>
      <c r="W573" t="s">
        <v>7889</v>
      </c>
      <c r="X573" t="s">
        <v>7890</v>
      </c>
      <c r="Y573" t="s">
        <v>7891</v>
      </c>
      <c r="Z573" t="s">
        <v>74</v>
      </c>
      <c r="AA573" t="s">
        <v>74</v>
      </c>
      <c r="AB573" t="s">
        <v>74</v>
      </c>
      <c r="AC573" t="s">
        <v>74</v>
      </c>
      <c r="AD573" t="s">
        <v>74</v>
      </c>
      <c r="AE573" t="s">
        <v>74</v>
      </c>
      <c r="AF573" t="s">
        <v>74</v>
      </c>
      <c r="AG573">
        <v>26</v>
      </c>
      <c r="AH573">
        <v>627</v>
      </c>
      <c r="AI573">
        <v>770</v>
      </c>
      <c r="AJ573">
        <v>16</v>
      </c>
      <c r="AK573">
        <v>193</v>
      </c>
      <c r="AL573" t="s">
        <v>149</v>
      </c>
      <c r="AM573" t="s">
        <v>150</v>
      </c>
      <c r="AN573" t="s">
        <v>151</v>
      </c>
      <c r="AO573" t="s">
        <v>619</v>
      </c>
      <c r="AP573" t="s">
        <v>74</v>
      </c>
      <c r="AQ573" t="s">
        <v>74</v>
      </c>
      <c r="AR573" t="s">
        <v>620</v>
      </c>
      <c r="AS573" t="s">
        <v>621</v>
      </c>
      <c r="AT573" t="s">
        <v>7839</v>
      </c>
      <c r="AU573">
        <v>2001</v>
      </c>
      <c r="AV573">
        <v>28</v>
      </c>
      <c r="AW573">
        <v>10</v>
      </c>
      <c r="AX573" t="s">
        <v>74</v>
      </c>
      <c r="AY573" t="s">
        <v>74</v>
      </c>
      <c r="AZ573" t="s">
        <v>74</v>
      </c>
      <c r="BA573" t="s">
        <v>74</v>
      </c>
      <c r="BB573">
        <v>2073</v>
      </c>
      <c r="BC573">
        <v>2076</v>
      </c>
      <c r="BD573" t="s">
        <v>74</v>
      </c>
      <c r="BE573" t="s">
        <v>7892</v>
      </c>
      <c r="BF573" t="str">
        <f>HYPERLINK("http://dx.doi.org/10.1029/2000GL012311","http://dx.doi.org/10.1029/2000GL012311")</f>
        <v>http://dx.doi.org/10.1029/2000GL012311</v>
      </c>
      <c r="BG573" t="s">
        <v>74</v>
      </c>
      <c r="BH573" t="s">
        <v>74</v>
      </c>
      <c r="BI573">
        <v>4</v>
      </c>
      <c r="BJ573" t="s">
        <v>300</v>
      </c>
      <c r="BK573" t="s">
        <v>88</v>
      </c>
      <c r="BL573" t="s">
        <v>113</v>
      </c>
      <c r="BM573" t="s">
        <v>7861</v>
      </c>
      <c r="BN573" t="s">
        <v>74</v>
      </c>
      <c r="BO573" t="s">
        <v>74</v>
      </c>
      <c r="BP573" t="s">
        <v>74</v>
      </c>
      <c r="BQ573" t="s">
        <v>74</v>
      </c>
      <c r="BR573" t="s">
        <v>91</v>
      </c>
      <c r="BS573" t="s">
        <v>7893</v>
      </c>
      <c r="BT573" t="str">
        <f>HYPERLINK("https%3A%2F%2Fwww.webofscience.com%2Fwos%2Fwoscc%2Ffull-record%2FWOS:000168617900045","View Full Record in Web of Science")</f>
        <v>View Full Record in Web of Science</v>
      </c>
    </row>
    <row r="574" spans="1:72" x14ac:dyDescent="0.15">
      <c r="A574" t="s">
        <v>72</v>
      </c>
      <c r="B574" t="s">
        <v>7894</v>
      </c>
      <c r="C574" t="s">
        <v>74</v>
      </c>
      <c r="D574" t="s">
        <v>74</v>
      </c>
      <c r="E574" t="s">
        <v>74</v>
      </c>
      <c r="F574" t="s">
        <v>7894</v>
      </c>
      <c r="G574" t="s">
        <v>74</v>
      </c>
      <c r="H574" t="s">
        <v>74</v>
      </c>
      <c r="I574" t="s">
        <v>7895</v>
      </c>
      <c r="J574" t="s">
        <v>7896</v>
      </c>
      <c r="K574" t="s">
        <v>74</v>
      </c>
      <c r="L574" t="s">
        <v>74</v>
      </c>
      <c r="M574" t="s">
        <v>77</v>
      </c>
      <c r="N574" t="s">
        <v>120</v>
      </c>
      <c r="O574" t="s">
        <v>74</v>
      </c>
      <c r="P574" t="s">
        <v>74</v>
      </c>
      <c r="Q574" t="s">
        <v>74</v>
      </c>
      <c r="R574" t="s">
        <v>74</v>
      </c>
      <c r="S574" t="s">
        <v>74</v>
      </c>
      <c r="T574" t="s">
        <v>74</v>
      </c>
      <c r="U574" t="s">
        <v>7897</v>
      </c>
      <c r="V574" t="s">
        <v>7898</v>
      </c>
      <c r="W574" t="s">
        <v>7899</v>
      </c>
      <c r="X574" t="s">
        <v>7900</v>
      </c>
      <c r="Y574" t="s">
        <v>7901</v>
      </c>
      <c r="Z574" t="s">
        <v>74</v>
      </c>
      <c r="AA574" t="s">
        <v>7902</v>
      </c>
      <c r="AB574" t="s">
        <v>74</v>
      </c>
      <c r="AC574" t="s">
        <v>74</v>
      </c>
      <c r="AD574" t="s">
        <v>74</v>
      </c>
      <c r="AE574" t="s">
        <v>74</v>
      </c>
      <c r="AF574" t="s">
        <v>74</v>
      </c>
      <c r="AG574">
        <v>52</v>
      </c>
      <c r="AH574">
        <v>16</v>
      </c>
      <c r="AI574">
        <v>16</v>
      </c>
      <c r="AJ574">
        <v>0</v>
      </c>
      <c r="AK574">
        <v>8</v>
      </c>
      <c r="AL574" t="s">
        <v>3972</v>
      </c>
      <c r="AM574" t="s">
        <v>1352</v>
      </c>
      <c r="AN574" t="s">
        <v>7903</v>
      </c>
      <c r="AO574" t="s">
        <v>7904</v>
      </c>
      <c r="AP574" t="s">
        <v>74</v>
      </c>
      <c r="AQ574" t="s">
        <v>74</v>
      </c>
      <c r="AR574" t="s">
        <v>7905</v>
      </c>
      <c r="AS574" t="s">
        <v>7906</v>
      </c>
      <c r="AT574" t="s">
        <v>7839</v>
      </c>
      <c r="AU574">
        <v>2001</v>
      </c>
      <c r="AV574">
        <v>114</v>
      </c>
      <c r="AW574">
        <v>19</v>
      </c>
      <c r="AX574" t="s">
        <v>74</v>
      </c>
      <c r="AY574" t="s">
        <v>74</v>
      </c>
      <c r="AZ574" t="s">
        <v>74</v>
      </c>
      <c r="BA574" t="s">
        <v>74</v>
      </c>
      <c r="BB574">
        <v>8339</v>
      </c>
      <c r="BC574">
        <v>8346</v>
      </c>
      <c r="BD574" t="s">
        <v>74</v>
      </c>
      <c r="BE574" t="s">
        <v>7907</v>
      </c>
      <c r="BF574" t="str">
        <f>HYPERLINK("http://dx.doi.org/10.1063/1.1367393","http://dx.doi.org/10.1063/1.1367393")</f>
        <v>http://dx.doi.org/10.1063/1.1367393</v>
      </c>
      <c r="BG574" t="s">
        <v>74</v>
      </c>
      <c r="BH574" t="s">
        <v>74</v>
      </c>
      <c r="BI574">
        <v>8</v>
      </c>
      <c r="BJ574" t="s">
        <v>5478</v>
      </c>
      <c r="BK574" t="s">
        <v>88</v>
      </c>
      <c r="BL574" t="s">
        <v>5479</v>
      </c>
      <c r="BM574" t="s">
        <v>7908</v>
      </c>
      <c r="BN574" t="s">
        <v>74</v>
      </c>
      <c r="BO574" t="s">
        <v>74</v>
      </c>
      <c r="BP574" t="s">
        <v>74</v>
      </c>
      <c r="BQ574" t="s">
        <v>74</v>
      </c>
      <c r="BR574" t="s">
        <v>91</v>
      </c>
      <c r="BS574" t="s">
        <v>7909</v>
      </c>
      <c r="BT574" t="str">
        <f>HYPERLINK("https%3A%2F%2Fwww.webofscience.com%2Fwos%2Fwoscc%2Ffull-record%2FWOS:000168440400015","View Full Record in Web of Science")</f>
        <v>View Full Record in Web of Science</v>
      </c>
    </row>
    <row r="575" spans="1:72" x14ac:dyDescent="0.15">
      <c r="A575" t="s">
        <v>72</v>
      </c>
      <c r="B575" t="s">
        <v>7910</v>
      </c>
      <c r="C575" t="s">
        <v>74</v>
      </c>
      <c r="D575" t="s">
        <v>74</v>
      </c>
      <c r="E575" t="s">
        <v>74</v>
      </c>
      <c r="F575" t="s">
        <v>7910</v>
      </c>
      <c r="G575" t="s">
        <v>74</v>
      </c>
      <c r="H575" t="s">
        <v>74</v>
      </c>
      <c r="I575" t="s">
        <v>7911</v>
      </c>
      <c r="J575" t="s">
        <v>638</v>
      </c>
      <c r="K575" t="s">
        <v>74</v>
      </c>
      <c r="L575" t="s">
        <v>74</v>
      </c>
      <c r="M575" t="s">
        <v>77</v>
      </c>
      <c r="N575" t="s">
        <v>120</v>
      </c>
      <c r="O575" t="s">
        <v>74</v>
      </c>
      <c r="P575" t="s">
        <v>74</v>
      </c>
      <c r="Q575" t="s">
        <v>74</v>
      </c>
      <c r="R575" t="s">
        <v>74</v>
      </c>
      <c r="S575" t="s">
        <v>74</v>
      </c>
      <c r="T575" t="s">
        <v>7912</v>
      </c>
      <c r="U575" t="s">
        <v>7913</v>
      </c>
      <c r="V575" t="s">
        <v>7914</v>
      </c>
      <c r="W575" t="s">
        <v>7915</v>
      </c>
      <c r="X575" t="s">
        <v>7916</v>
      </c>
      <c r="Y575" t="s">
        <v>2719</v>
      </c>
      <c r="Z575" t="s">
        <v>74</v>
      </c>
      <c r="AA575" t="s">
        <v>7917</v>
      </c>
      <c r="AB575" t="s">
        <v>7918</v>
      </c>
      <c r="AC575" t="s">
        <v>74</v>
      </c>
      <c r="AD575" t="s">
        <v>74</v>
      </c>
      <c r="AE575" t="s">
        <v>74</v>
      </c>
      <c r="AF575" t="s">
        <v>74</v>
      </c>
      <c r="AG575">
        <v>72</v>
      </c>
      <c r="AH575">
        <v>118</v>
      </c>
      <c r="AI575">
        <v>128</v>
      </c>
      <c r="AJ575">
        <v>0</v>
      </c>
      <c r="AK575">
        <v>46</v>
      </c>
      <c r="AL575" t="s">
        <v>349</v>
      </c>
      <c r="AM575" t="s">
        <v>350</v>
      </c>
      <c r="AN575" t="s">
        <v>351</v>
      </c>
      <c r="AO575" t="s">
        <v>646</v>
      </c>
      <c r="AP575" t="s">
        <v>647</v>
      </c>
      <c r="AQ575" t="s">
        <v>74</v>
      </c>
      <c r="AR575" t="s">
        <v>648</v>
      </c>
      <c r="AS575" t="s">
        <v>649</v>
      </c>
      <c r="AT575" t="s">
        <v>7839</v>
      </c>
      <c r="AU575">
        <v>2001</v>
      </c>
      <c r="AV575">
        <v>259</v>
      </c>
      <c r="AW575">
        <v>2</v>
      </c>
      <c r="AX575" t="s">
        <v>74</v>
      </c>
      <c r="AY575" t="s">
        <v>74</v>
      </c>
      <c r="AZ575" t="s">
        <v>74</v>
      </c>
      <c r="BA575" t="s">
        <v>74</v>
      </c>
      <c r="BB575">
        <v>133</v>
      </c>
      <c r="BC575">
        <v>154</v>
      </c>
      <c r="BD575" t="s">
        <v>74</v>
      </c>
      <c r="BE575" t="s">
        <v>7919</v>
      </c>
      <c r="BF575" t="str">
        <f>HYPERLINK("http://dx.doi.org/10.1016/S0022-0981(01)00236-2","http://dx.doi.org/10.1016/S0022-0981(01)00236-2")</f>
        <v>http://dx.doi.org/10.1016/S0022-0981(01)00236-2</v>
      </c>
      <c r="BG575" t="s">
        <v>74</v>
      </c>
      <c r="BH575" t="s">
        <v>74</v>
      </c>
      <c r="BI575">
        <v>22</v>
      </c>
      <c r="BJ575" t="s">
        <v>429</v>
      </c>
      <c r="BK575" t="s">
        <v>88</v>
      </c>
      <c r="BL575" t="s">
        <v>89</v>
      </c>
      <c r="BM575" t="s">
        <v>7920</v>
      </c>
      <c r="BN575">
        <v>11343709</v>
      </c>
      <c r="BO575" t="s">
        <v>74</v>
      </c>
      <c r="BP575" t="s">
        <v>74</v>
      </c>
      <c r="BQ575" t="s">
        <v>74</v>
      </c>
      <c r="BR575" t="s">
        <v>91</v>
      </c>
      <c r="BS575" t="s">
        <v>7921</v>
      </c>
      <c r="BT575" t="str">
        <f>HYPERLINK("https%3A%2F%2Fwww.webofscience.com%2Fwos%2Fwoscc%2Ffull-record%2FWOS:000168773600001","View Full Record in Web of Science")</f>
        <v>View Full Record in Web of Science</v>
      </c>
    </row>
    <row r="576" spans="1:72" x14ac:dyDescent="0.15">
      <c r="A576" t="s">
        <v>72</v>
      </c>
      <c r="B576" t="s">
        <v>7922</v>
      </c>
      <c r="C576" t="s">
        <v>74</v>
      </c>
      <c r="D576" t="s">
        <v>74</v>
      </c>
      <c r="E576" t="s">
        <v>74</v>
      </c>
      <c r="F576" t="s">
        <v>7922</v>
      </c>
      <c r="G576" t="s">
        <v>74</v>
      </c>
      <c r="H576" t="s">
        <v>74</v>
      </c>
      <c r="I576" t="s">
        <v>7923</v>
      </c>
      <c r="J576" t="s">
        <v>655</v>
      </c>
      <c r="K576" t="s">
        <v>74</v>
      </c>
      <c r="L576" t="s">
        <v>74</v>
      </c>
      <c r="M576" t="s">
        <v>77</v>
      </c>
      <c r="N576" t="s">
        <v>120</v>
      </c>
      <c r="O576" t="s">
        <v>74</v>
      </c>
      <c r="P576" t="s">
        <v>74</v>
      </c>
      <c r="Q576" t="s">
        <v>74</v>
      </c>
      <c r="R576" t="s">
        <v>74</v>
      </c>
      <c r="S576" t="s">
        <v>74</v>
      </c>
      <c r="T576" t="s">
        <v>74</v>
      </c>
      <c r="U576" t="s">
        <v>7924</v>
      </c>
      <c r="V576" t="s">
        <v>7925</v>
      </c>
      <c r="W576" t="s">
        <v>658</v>
      </c>
      <c r="X576" t="s">
        <v>617</v>
      </c>
      <c r="Y576" t="s">
        <v>659</v>
      </c>
      <c r="Z576" t="s">
        <v>7926</v>
      </c>
      <c r="AA576" t="s">
        <v>7927</v>
      </c>
      <c r="AB576" t="s">
        <v>7928</v>
      </c>
      <c r="AC576" t="s">
        <v>74</v>
      </c>
      <c r="AD576" t="s">
        <v>74</v>
      </c>
      <c r="AE576" t="s">
        <v>74</v>
      </c>
      <c r="AF576" t="s">
        <v>74</v>
      </c>
      <c r="AG576">
        <v>26</v>
      </c>
      <c r="AH576">
        <v>99</v>
      </c>
      <c r="AI576">
        <v>109</v>
      </c>
      <c r="AJ576">
        <v>0</v>
      </c>
      <c r="AK576">
        <v>28</v>
      </c>
      <c r="AL576" t="s">
        <v>149</v>
      </c>
      <c r="AM576" t="s">
        <v>150</v>
      </c>
      <c r="AN576" t="s">
        <v>151</v>
      </c>
      <c r="AO576" t="s">
        <v>662</v>
      </c>
      <c r="AP576" t="s">
        <v>663</v>
      </c>
      <c r="AQ576" t="s">
        <v>74</v>
      </c>
      <c r="AR576" t="s">
        <v>664</v>
      </c>
      <c r="AS576" t="s">
        <v>665</v>
      </c>
      <c r="AT576" t="s">
        <v>7839</v>
      </c>
      <c r="AU576">
        <v>2001</v>
      </c>
      <c r="AV576">
        <v>106</v>
      </c>
      <c r="AW576" t="s">
        <v>7929</v>
      </c>
      <c r="AX576" t="s">
        <v>74</v>
      </c>
      <c r="AY576" t="s">
        <v>74</v>
      </c>
      <c r="AZ576" t="s">
        <v>74</v>
      </c>
      <c r="BA576" t="s">
        <v>74</v>
      </c>
      <c r="BB576">
        <v>9005</v>
      </c>
      <c r="BC576">
        <v>9017</v>
      </c>
      <c r="BD576" t="s">
        <v>74</v>
      </c>
      <c r="BE576" t="s">
        <v>7930</v>
      </c>
      <c r="BF576" t="str">
        <f>HYPERLINK("http://dx.doi.org/10.1029/2000JC000281","http://dx.doi.org/10.1029/2000JC000281")</f>
        <v>http://dx.doi.org/10.1029/2000JC000281</v>
      </c>
      <c r="BG576" t="s">
        <v>74</v>
      </c>
      <c r="BH576" t="s">
        <v>74</v>
      </c>
      <c r="BI576">
        <v>13</v>
      </c>
      <c r="BJ576" t="s">
        <v>668</v>
      </c>
      <c r="BK576" t="s">
        <v>88</v>
      </c>
      <c r="BL576" t="s">
        <v>668</v>
      </c>
      <c r="BM576" t="s">
        <v>7931</v>
      </c>
      <c r="BN576" t="s">
        <v>74</v>
      </c>
      <c r="BO576" t="s">
        <v>5066</v>
      </c>
      <c r="BP576" t="s">
        <v>74</v>
      </c>
      <c r="BQ576" t="s">
        <v>74</v>
      </c>
      <c r="BR576" t="s">
        <v>91</v>
      </c>
      <c r="BS576" t="s">
        <v>7932</v>
      </c>
      <c r="BT576" t="str">
        <f>HYPERLINK("https%3A%2F%2Fwww.webofscience.com%2Fwos%2Fwoscc%2Ffull-record%2FWOS:000168653300004","View Full Record in Web of Science")</f>
        <v>View Full Record in Web of Science</v>
      </c>
    </row>
    <row r="577" spans="1:72" x14ac:dyDescent="0.15">
      <c r="A577" t="s">
        <v>72</v>
      </c>
      <c r="B577" t="s">
        <v>7933</v>
      </c>
      <c r="C577" t="s">
        <v>74</v>
      </c>
      <c r="D577" t="s">
        <v>74</v>
      </c>
      <c r="E577" t="s">
        <v>74</v>
      </c>
      <c r="F577" t="s">
        <v>7933</v>
      </c>
      <c r="G577" t="s">
        <v>74</v>
      </c>
      <c r="H577" t="s">
        <v>74</v>
      </c>
      <c r="I577" t="s">
        <v>7934</v>
      </c>
      <c r="J577" t="s">
        <v>655</v>
      </c>
      <c r="K577" t="s">
        <v>74</v>
      </c>
      <c r="L577" t="s">
        <v>74</v>
      </c>
      <c r="M577" t="s">
        <v>77</v>
      </c>
      <c r="N577" t="s">
        <v>120</v>
      </c>
      <c r="O577" t="s">
        <v>74</v>
      </c>
      <c r="P577" t="s">
        <v>74</v>
      </c>
      <c r="Q577" t="s">
        <v>74</v>
      </c>
      <c r="R577" t="s">
        <v>74</v>
      </c>
      <c r="S577" t="s">
        <v>74</v>
      </c>
      <c r="T577" t="s">
        <v>74</v>
      </c>
      <c r="U577" t="s">
        <v>7935</v>
      </c>
      <c r="V577" t="s">
        <v>7936</v>
      </c>
      <c r="W577" t="s">
        <v>7937</v>
      </c>
      <c r="X577" t="s">
        <v>1856</v>
      </c>
      <c r="Y577" t="s">
        <v>7938</v>
      </c>
      <c r="Z577" t="s">
        <v>7939</v>
      </c>
      <c r="AA577" t="s">
        <v>7940</v>
      </c>
      <c r="AB577" t="s">
        <v>7941</v>
      </c>
      <c r="AC577" t="s">
        <v>74</v>
      </c>
      <c r="AD577" t="s">
        <v>74</v>
      </c>
      <c r="AE577" t="s">
        <v>74</v>
      </c>
      <c r="AF577" t="s">
        <v>74</v>
      </c>
      <c r="AG577">
        <v>57</v>
      </c>
      <c r="AH577">
        <v>55</v>
      </c>
      <c r="AI577">
        <v>66</v>
      </c>
      <c r="AJ577">
        <v>0</v>
      </c>
      <c r="AK577">
        <v>8</v>
      </c>
      <c r="AL577" t="s">
        <v>149</v>
      </c>
      <c r="AM577" t="s">
        <v>150</v>
      </c>
      <c r="AN577" t="s">
        <v>151</v>
      </c>
      <c r="AO577" t="s">
        <v>662</v>
      </c>
      <c r="AP577" t="s">
        <v>663</v>
      </c>
      <c r="AQ577" t="s">
        <v>74</v>
      </c>
      <c r="AR577" t="s">
        <v>664</v>
      </c>
      <c r="AS577" t="s">
        <v>665</v>
      </c>
      <c r="AT577" t="s">
        <v>7839</v>
      </c>
      <c r="AU577">
        <v>2001</v>
      </c>
      <c r="AV577">
        <v>106</v>
      </c>
      <c r="AW577" t="s">
        <v>7929</v>
      </c>
      <c r="AX577" t="s">
        <v>74</v>
      </c>
      <c r="AY577" t="s">
        <v>74</v>
      </c>
      <c r="AZ577" t="s">
        <v>74</v>
      </c>
      <c r="BA577" t="s">
        <v>74</v>
      </c>
      <c r="BB577">
        <v>9019</v>
      </c>
      <c r="BC577">
        <v>9038</v>
      </c>
      <c r="BD577" t="s">
        <v>74</v>
      </c>
      <c r="BE577" t="s">
        <v>7942</v>
      </c>
      <c r="BF577" t="str">
        <f>HYPERLINK("http://dx.doi.org/10.1029/2000JC000590","http://dx.doi.org/10.1029/2000JC000590")</f>
        <v>http://dx.doi.org/10.1029/2000JC000590</v>
      </c>
      <c r="BG577" t="s">
        <v>74</v>
      </c>
      <c r="BH577" t="s">
        <v>74</v>
      </c>
      <c r="BI577">
        <v>20</v>
      </c>
      <c r="BJ577" t="s">
        <v>668</v>
      </c>
      <c r="BK577" t="s">
        <v>88</v>
      </c>
      <c r="BL577" t="s">
        <v>668</v>
      </c>
      <c r="BM577" t="s">
        <v>7931</v>
      </c>
      <c r="BN577" t="s">
        <v>74</v>
      </c>
      <c r="BO577" t="s">
        <v>171</v>
      </c>
      <c r="BP577" t="s">
        <v>74</v>
      </c>
      <c r="BQ577" t="s">
        <v>74</v>
      </c>
      <c r="BR577" t="s">
        <v>91</v>
      </c>
      <c r="BS577" t="s">
        <v>7943</v>
      </c>
      <c r="BT577" t="str">
        <f>HYPERLINK("https%3A%2F%2Fwww.webofscience.com%2Fwos%2Fwoscc%2Ffull-record%2FWOS:000168653300005","View Full Record in Web of Science")</f>
        <v>View Full Record in Web of Science</v>
      </c>
    </row>
    <row r="578" spans="1:72" x14ac:dyDescent="0.15">
      <c r="A578" t="s">
        <v>72</v>
      </c>
      <c r="B578" t="s">
        <v>7944</v>
      </c>
      <c r="C578" t="s">
        <v>74</v>
      </c>
      <c r="D578" t="s">
        <v>74</v>
      </c>
      <c r="E578" t="s">
        <v>74</v>
      </c>
      <c r="F578" t="s">
        <v>7944</v>
      </c>
      <c r="G578" t="s">
        <v>74</v>
      </c>
      <c r="H578" t="s">
        <v>74</v>
      </c>
      <c r="I578" t="s">
        <v>7945</v>
      </c>
      <c r="J578" t="s">
        <v>655</v>
      </c>
      <c r="K578" t="s">
        <v>74</v>
      </c>
      <c r="L578" t="s">
        <v>74</v>
      </c>
      <c r="M578" t="s">
        <v>77</v>
      </c>
      <c r="N578" t="s">
        <v>120</v>
      </c>
      <c r="O578" t="s">
        <v>74</v>
      </c>
      <c r="P578" t="s">
        <v>74</v>
      </c>
      <c r="Q578" t="s">
        <v>74</v>
      </c>
      <c r="R578" t="s">
        <v>74</v>
      </c>
      <c r="S578" t="s">
        <v>74</v>
      </c>
      <c r="T578" t="s">
        <v>74</v>
      </c>
      <c r="U578" t="s">
        <v>7946</v>
      </c>
      <c r="V578" t="s">
        <v>7947</v>
      </c>
      <c r="W578" t="s">
        <v>2323</v>
      </c>
      <c r="X578" t="s">
        <v>1679</v>
      </c>
      <c r="Y578" t="s">
        <v>7948</v>
      </c>
      <c r="Z578" t="s">
        <v>7949</v>
      </c>
      <c r="AA578" t="s">
        <v>74</v>
      </c>
      <c r="AB578" t="s">
        <v>7950</v>
      </c>
      <c r="AC578" t="s">
        <v>74</v>
      </c>
      <c r="AD578" t="s">
        <v>74</v>
      </c>
      <c r="AE578" t="s">
        <v>74</v>
      </c>
      <c r="AF578" t="s">
        <v>74</v>
      </c>
      <c r="AG578">
        <v>53</v>
      </c>
      <c r="AH578">
        <v>69</v>
      </c>
      <c r="AI578">
        <v>73</v>
      </c>
      <c r="AJ578">
        <v>0</v>
      </c>
      <c r="AK578">
        <v>17</v>
      </c>
      <c r="AL578" t="s">
        <v>149</v>
      </c>
      <c r="AM578" t="s">
        <v>150</v>
      </c>
      <c r="AN578" t="s">
        <v>151</v>
      </c>
      <c r="AO578" t="s">
        <v>662</v>
      </c>
      <c r="AP578" t="s">
        <v>663</v>
      </c>
      <c r="AQ578" t="s">
        <v>74</v>
      </c>
      <c r="AR578" t="s">
        <v>664</v>
      </c>
      <c r="AS578" t="s">
        <v>665</v>
      </c>
      <c r="AT578" t="s">
        <v>7839</v>
      </c>
      <c r="AU578">
        <v>2001</v>
      </c>
      <c r="AV578">
        <v>106</v>
      </c>
      <c r="AW578" t="s">
        <v>7929</v>
      </c>
      <c r="AX578" t="s">
        <v>74</v>
      </c>
      <c r="AY578" t="s">
        <v>74</v>
      </c>
      <c r="AZ578" t="s">
        <v>74</v>
      </c>
      <c r="BA578" t="s">
        <v>74</v>
      </c>
      <c r="BB578">
        <v>9057</v>
      </c>
      <c r="BC578">
        <v>9073</v>
      </c>
      <c r="BD578" t="s">
        <v>74</v>
      </c>
      <c r="BE578" t="s">
        <v>7951</v>
      </c>
      <c r="BF578" t="str">
        <f>HYPERLINK("http://dx.doi.org/10.1029/1999JC000027","http://dx.doi.org/10.1029/1999JC000027")</f>
        <v>http://dx.doi.org/10.1029/1999JC000027</v>
      </c>
      <c r="BG578" t="s">
        <v>74</v>
      </c>
      <c r="BH578" t="s">
        <v>74</v>
      </c>
      <c r="BI578">
        <v>17</v>
      </c>
      <c r="BJ578" t="s">
        <v>668</v>
      </c>
      <c r="BK578" t="s">
        <v>88</v>
      </c>
      <c r="BL578" t="s">
        <v>668</v>
      </c>
      <c r="BM578" t="s">
        <v>7931</v>
      </c>
      <c r="BN578" t="s">
        <v>74</v>
      </c>
      <c r="BO578" t="s">
        <v>5066</v>
      </c>
      <c r="BP578" t="s">
        <v>74</v>
      </c>
      <c r="BQ578" t="s">
        <v>74</v>
      </c>
      <c r="BR578" t="s">
        <v>91</v>
      </c>
      <c r="BS578" t="s">
        <v>7952</v>
      </c>
      <c r="BT578" t="str">
        <f>HYPERLINK("https%3A%2F%2Fwww.webofscience.com%2Fwos%2Fwoscc%2Ffull-record%2FWOS:000168653300007","View Full Record in Web of Science")</f>
        <v>View Full Record in Web of Science</v>
      </c>
    </row>
    <row r="579" spans="1:72" x14ac:dyDescent="0.15">
      <c r="A579" t="s">
        <v>72</v>
      </c>
      <c r="B579" t="s">
        <v>7953</v>
      </c>
      <c r="C579" t="s">
        <v>74</v>
      </c>
      <c r="D579" t="s">
        <v>74</v>
      </c>
      <c r="E579" t="s">
        <v>74</v>
      </c>
      <c r="F579" t="s">
        <v>7953</v>
      </c>
      <c r="G579" t="s">
        <v>74</v>
      </c>
      <c r="H579" t="s">
        <v>74</v>
      </c>
      <c r="I579" t="s">
        <v>7954</v>
      </c>
      <c r="J579" t="s">
        <v>4573</v>
      </c>
      <c r="K579" t="s">
        <v>74</v>
      </c>
      <c r="L579" t="s">
        <v>74</v>
      </c>
      <c r="M579" t="s">
        <v>77</v>
      </c>
      <c r="N579" t="s">
        <v>120</v>
      </c>
      <c r="O579" t="s">
        <v>74</v>
      </c>
      <c r="P579" t="s">
        <v>74</v>
      </c>
      <c r="Q579" t="s">
        <v>74</v>
      </c>
      <c r="R579" t="s">
        <v>74</v>
      </c>
      <c r="S579" t="s">
        <v>74</v>
      </c>
      <c r="T579" t="s">
        <v>74</v>
      </c>
      <c r="U579" t="s">
        <v>7955</v>
      </c>
      <c r="V579" t="s">
        <v>7956</v>
      </c>
      <c r="W579" t="s">
        <v>7957</v>
      </c>
      <c r="X579" t="s">
        <v>7958</v>
      </c>
      <c r="Y579" t="s">
        <v>7959</v>
      </c>
      <c r="Z579" t="s">
        <v>7960</v>
      </c>
      <c r="AA579" t="s">
        <v>7961</v>
      </c>
      <c r="AB579" t="s">
        <v>7962</v>
      </c>
      <c r="AC579" t="s">
        <v>74</v>
      </c>
      <c r="AD579" t="s">
        <v>74</v>
      </c>
      <c r="AE579" t="s">
        <v>74</v>
      </c>
      <c r="AF579" t="s">
        <v>74</v>
      </c>
      <c r="AG579">
        <v>34</v>
      </c>
      <c r="AH579">
        <v>16</v>
      </c>
      <c r="AI579">
        <v>17</v>
      </c>
      <c r="AJ579">
        <v>0</v>
      </c>
      <c r="AK579">
        <v>4</v>
      </c>
      <c r="AL579" t="s">
        <v>149</v>
      </c>
      <c r="AM579" t="s">
        <v>150</v>
      </c>
      <c r="AN579" t="s">
        <v>151</v>
      </c>
      <c r="AO579" t="s">
        <v>4582</v>
      </c>
      <c r="AP579" t="s">
        <v>4583</v>
      </c>
      <c r="AQ579" t="s">
        <v>74</v>
      </c>
      <c r="AR579" t="s">
        <v>4584</v>
      </c>
      <c r="AS579" t="s">
        <v>4585</v>
      </c>
      <c r="AT579" t="s">
        <v>7963</v>
      </c>
      <c r="AU579">
        <v>2001</v>
      </c>
      <c r="AV579">
        <v>106</v>
      </c>
      <c r="AW579" t="s">
        <v>7964</v>
      </c>
      <c r="AX579" t="s">
        <v>74</v>
      </c>
      <c r="AY579" t="s">
        <v>74</v>
      </c>
      <c r="AZ579" t="s">
        <v>74</v>
      </c>
      <c r="BA579" t="s">
        <v>74</v>
      </c>
      <c r="BB579">
        <v>8521</v>
      </c>
      <c r="BC579">
        <v>8546</v>
      </c>
      <c r="BD579" t="s">
        <v>74</v>
      </c>
      <c r="BE579" t="s">
        <v>7965</v>
      </c>
      <c r="BF579" t="str">
        <f>HYPERLINK("http://dx.doi.org/10.1029/2000JB900394","http://dx.doi.org/10.1029/2000JB900394")</f>
        <v>http://dx.doi.org/10.1029/2000JB900394</v>
      </c>
      <c r="BG579" t="s">
        <v>74</v>
      </c>
      <c r="BH579" t="s">
        <v>74</v>
      </c>
      <c r="BI579">
        <v>26</v>
      </c>
      <c r="BJ579" t="s">
        <v>388</v>
      </c>
      <c r="BK579" t="s">
        <v>88</v>
      </c>
      <c r="BL579" t="s">
        <v>388</v>
      </c>
      <c r="BM579" t="s">
        <v>7966</v>
      </c>
      <c r="BN579" t="s">
        <v>74</v>
      </c>
      <c r="BO579" t="s">
        <v>761</v>
      </c>
      <c r="BP579" t="s">
        <v>74</v>
      </c>
      <c r="BQ579" t="s">
        <v>74</v>
      </c>
      <c r="BR579" t="s">
        <v>91</v>
      </c>
      <c r="BS579" t="s">
        <v>7967</v>
      </c>
      <c r="BT579" t="str">
        <f>HYPERLINK("https%3A%2F%2Fwww.webofscience.com%2Fwos%2Fwoscc%2Ffull-record%2FWOS:000168593200002","View Full Record in Web of Science")</f>
        <v>View Full Record in Web of Science</v>
      </c>
    </row>
    <row r="580" spans="1:72" x14ac:dyDescent="0.15">
      <c r="A580" t="s">
        <v>72</v>
      </c>
      <c r="B580" t="s">
        <v>7968</v>
      </c>
      <c r="C580" t="s">
        <v>74</v>
      </c>
      <c r="D580" t="s">
        <v>74</v>
      </c>
      <c r="E580" t="s">
        <v>74</v>
      </c>
      <c r="F580" t="s">
        <v>7968</v>
      </c>
      <c r="G580" t="s">
        <v>74</v>
      </c>
      <c r="H580" t="s">
        <v>74</v>
      </c>
      <c r="I580" t="s">
        <v>7969</v>
      </c>
      <c r="J580" t="s">
        <v>695</v>
      </c>
      <c r="K580" t="s">
        <v>74</v>
      </c>
      <c r="L580" t="s">
        <v>74</v>
      </c>
      <c r="M580" t="s">
        <v>77</v>
      </c>
      <c r="N580" t="s">
        <v>120</v>
      </c>
      <c r="O580" t="s">
        <v>74</v>
      </c>
      <c r="P580" t="s">
        <v>74</v>
      </c>
      <c r="Q580" t="s">
        <v>74</v>
      </c>
      <c r="R580" t="s">
        <v>74</v>
      </c>
      <c r="S580" t="s">
        <v>74</v>
      </c>
      <c r="T580" t="s">
        <v>74</v>
      </c>
      <c r="U580" t="s">
        <v>7970</v>
      </c>
      <c r="V580" t="s">
        <v>7971</v>
      </c>
      <c r="W580" t="s">
        <v>7972</v>
      </c>
      <c r="X580" t="s">
        <v>5517</v>
      </c>
      <c r="Y580" t="s">
        <v>7973</v>
      </c>
      <c r="Z580" t="s">
        <v>74</v>
      </c>
      <c r="AA580" t="s">
        <v>7974</v>
      </c>
      <c r="AB580" t="s">
        <v>7975</v>
      </c>
      <c r="AC580" t="s">
        <v>74</v>
      </c>
      <c r="AD580" t="s">
        <v>74</v>
      </c>
      <c r="AE580" t="s">
        <v>74</v>
      </c>
      <c r="AF580" t="s">
        <v>74</v>
      </c>
      <c r="AG580">
        <v>29</v>
      </c>
      <c r="AH580">
        <v>293</v>
      </c>
      <c r="AI580">
        <v>321</v>
      </c>
      <c r="AJ580">
        <v>12</v>
      </c>
      <c r="AK580">
        <v>389</v>
      </c>
      <c r="AL580" t="s">
        <v>700</v>
      </c>
      <c r="AM580" t="s">
        <v>683</v>
      </c>
      <c r="AN580" t="s">
        <v>701</v>
      </c>
      <c r="AO580" t="s">
        <v>702</v>
      </c>
      <c r="AP580" t="s">
        <v>74</v>
      </c>
      <c r="AQ580" t="s">
        <v>74</v>
      </c>
      <c r="AR580" t="s">
        <v>695</v>
      </c>
      <c r="AS580" t="s">
        <v>703</v>
      </c>
      <c r="AT580" t="s">
        <v>7963</v>
      </c>
      <c r="AU580">
        <v>2001</v>
      </c>
      <c r="AV580">
        <v>411</v>
      </c>
      <c r="AW580">
        <v>6834</v>
      </c>
      <c r="AX580" t="s">
        <v>74</v>
      </c>
      <c r="AY580" t="s">
        <v>74</v>
      </c>
      <c r="AZ580" t="s">
        <v>74</v>
      </c>
      <c r="BA580" t="s">
        <v>74</v>
      </c>
      <c r="BB580">
        <v>183</v>
      </c>
      <c r="BC580">
        <v>186</v>
      </c>
      <c r="BD580" t="s">
        <v>74</v>
      </c>
      <c r="BE580" t="s">
        <v>7976</v>
      </c>
      <c r="BF580" t="str">
        <f>HYPERLINK("http://dx.doi.org/10.1038/35075554","http://dx.doi.org/10.1038/35075554")</f>
        <v>http://dx.doi.org/10.1038/35075554</v>
      </c>
      <c r="BG580" t="s">
        <v>74</v>
      </c>
      <c r="BH580" t="s">
        <v>74</v>
      </c>
      <c r="BI580">
        <v>5</v>
      </c>
      <c r="BJ580" t="s">
        <v>575</v>
      </c>
      <c r="BK580" t="s">
        <v>88</v>
      </c>
      <c r="BL580" t="s">
        <v>576</v>
      </c>
      <c r="BM580" t="s">
        <v>7977</v>
      </c>
      <c r="BN580">
        <v>11346792</v>
      </c>
      <c r="BO580" t="s">
        <v>74</v>
      </c>
      <c r="BP580" t="s">
        <v>74</v>
      </c>
      <c r="BQ580" t="s">
        <v>74</v>
      </c>
      <c r="BR580" t="s">
        <v>91</v>
      </c>
      <c r="BS580" t="s">
        <v>7978</v>
      </c>
      <c r="BT580" t="str">
        <f>HYPERLINK("https%3A%2F%2Fwww.webofscience.com%2Fwos%2Fwoscc%2Ffull-record%2FWOS:000168563000047","View Full Record in Web of Science")</f>
        <v>View Full Record in Web of Science</v>
      </c>
    </row>
    <row r="581" spans="1:72" x14ac:dyDescent="0.15">
      <c r="A581" t="s">
        <v>72</v>
      </c>
      <c r="B581" t="s">
        <v>6582</v>
      </c>
      <c r="C581" t="s">
        <v>74</v>
      </c>
      <c r="D581" t="s">
        <v>74</v>
      </c>
      <c r="E581" t="s">
        <v>74</v>
      </c>
      <c r="F581" t="s">
        <v>6582</v>
      </c>
      <c r="G581" t="s">
        <v>74</v>
      </c>
      <c r="H581" t="s">
        <v>74</v>
      </c>
      <c r="I581" t="s">
        <v>7979</v>
      </c>
      <c r="J581" t="s">
        <v>4615</v>
      </c>
      <c r="K581" t="s">
        <v>74</v>
      </c>
      <c r="L581" t="s">
        <v>74</v>
      </c>
      <c r="M581" t="s">
        <v>77</v>
      </c>
      <c r="N581" t="s">
        <v>96</v>
      </c>
      <c r="O581" t="s">
        <v>74</v>
      </c>
      <c r="P581" t="s">
        <v>74</v>
      </c>
      <c r="Q581" t="s">
        <v>74</v>
      </c>
      <c r="R581" t="s">
        <v>74</v>
      </c>
      <c r="S581" t="s">
        <v>74</v>
      </c>
      <c r="T581" t="s">
        <v>74</v>
      </c>
      <c r="U581" t="s">
        <v>7980</v>
      </c>
      <c r="V581" t="s">
        <v>7981</v>
      </c>
      <c r="W581" t="s">
        <v>6586</v>
      </c>
      <c r="X581" t="s">
        <v>6587</v>
      </c>
      <c r="Y581" t="s">
        <v>6588</v>
      </c>
      <c r="Z581" t="s">
        <v>74</v>
      </c>
      <c r="AA581" t="s">
        <v>74</v>
      </c>
      <c r="AB581" t="s">
        <v>6590</v>
      </c>
      <c r="AC581" t="s">
        <v>74</v>
      </c>
      <c r="AD581" t="s">
        <v>74</v>
      </c>
      <c r="AE581" t="s">
        <v>74</v>
      </c>
      <c r="AF581" t="s">
        <v>74</v>
      </c>
      <c r="AG581">
        <v>76</v>
      </c>
      <c r="AH581">
        <v>24</v>
      </c>
      <c r="AI581">
        <v>26</v>
      </c>
      <c r="AJ581">
        <v>0</v>
      </c>
      <c r="AK581">
        <v>15</v>
      </c>
      <c r="AL581" t="s">
        <v>508</v>
      </c>
      <c r="AM581" t="s">
        <v>150</v>
      </c>
      <c r="AN581" t="s">
        <v>509</v>
      </c>
      <c r="AO581" t="s">
        <v>4623</v>
      </c>
      <c r="AP581" t="s">
        <v>74</v>
      </c>
      <c r="AQ581" t="s">
        <v>74</v>
      </c>
      <c r="AR581" t="s">
        <v>4625</v>
      </c>
      <c r="AS581" t="s">
        <v>4626</v>
      </c>
      <c r="AT581" t="s">
        <v>7982</v>
      </c>
      <c r="AU581">
        <v>2001</v>
      </c>
      <c r="AV581">
        <v>34</v>
      </c>
      <c r="AW581">
        <v>5</v>
      </c>
      <c r="AX581" t="s">
        <v>74</v>
      </c>
      <c r="AY581" t="s">
        <v>74</v>
      </c>
      <c r="AZ581" t="s">
        <v>74</v>
      </c>
      <c r="BA581" t="s">
        <v>74</v>
      </c>
      <c r="BB581">
        <v>331</v>
      </c>
      <c r="BC581">
        <v>337</v>
      </c>
      <c r="BD581" t="s">
        <v>74</v>
      </c>
      <c r="BE581" t="s">
        <v>7983</v>
      </c>
      <c r="BF581" t="str">
        <f>HYPERLINK("http://dx.doi.org/10.1021/ar000066z","http://dx.doi.org/10.1021/ar000066z")</f>
        <v>http://dx.doi.org/10.1021/ar000066z</v>
      </c>
      <c r="BG581" t="s">
        <v>74</v>
      </c>
      <c r="BH581" t="s">
        <v>74</v>
      </c>
      <c r="BI581">
        <v>7</v>
      </c>
      <c r="BJ581" t="s">
        <v>1761</v>
      </c>
      <c r="BK581" t="s">
        <v>88</v>
      </c>
      <c r="BL581" t="s">
        <v>517</v>
      </c>
      <c r="BM581" t="s">
        <v>7984</v>
      </c>
      <c r="BN581">
        <v>11352711</v>
      </c>
      <c r="BO581" t="s">
        <v>74</v>
      </c>
      <c r="BP581" t="s">
        <v>74</v>
      </c>
      <c r="BQ581" t="s">
        <v>74</v>
      </c>
      <c r="BR581" t="s">
        <v>91</v>
      </c>
      <c r="BS581" t="s">
        <v>7985</v>
      </c>
      <c r="BT581" t="str">
        <f>HYPERLINK("https%3A%2F%2Fwww.webofscience.com%2Fwos%2Fwoscc%2Ffull-record%2FWOS:000168914200001","View Full Record in Web of Science")</f>
        <v>View Full Record in Web of Science</v>
      </c>
    </row>
    <row r="582" spans="1:72" x14ac:dyDescent="0.15">
      <c r="A582" t="s">
        <v>72</v>
      </c>
      <c r="B582" t="s">
        <v>7986</v>
      </c>
      <c r="C582" t="s">
        <v>74</v>
      </c>
      <c r="D582" t="s">
        <v>74</v>
      </c>
      <c r="E582" t="s">
        <v>74</v>
      </c>
      <c r="F582" t="s">
        <v>7986</v>
      </c>
      <c r="G582" t="s">
        <v>74</v>
      </c>
      <c r="H582" t="s">
        <v>74</v>
      </c>
      <c r="I582" t="s">
        <v>7987</v>
      </c>
      <c r="J582" t="s">
        <v>7988</v>
      </c>
      <c r="K582" t="s">
        <v>74</v>
      </c>
      <c r="L582" t="s">
        <v>74</v>
      </c>
      <c r="M582" t="s">
        <v>77</v>
      </c>
      <c r="N582" t="s">
        <v>120</v>
      </c>
      <c r="O582" t="s">
        <v>74</v>
      </c>
      <c r="P582" t="s">
        <v>74</v>
      </c>
      <c r="Q582" t="s">
        <v>74</v>
      </c>
      <c r="R582" t="s">
        <v>74</v>
      </c>
      <c r="S582" t="s">
        <v>74</v>
      </c>
      <c r="T582" t="s">
        <v>74</v>
      </c>
      <c r="U582" t="s">
        <v>7989</v>
      </c>
      <c r="V582" t="s">
        <v>7990</v>
      </c>
      <c r="W582" t="s">
        <v>7991</v>
      </c>
      <c r="X582" t="s">
        <v>419</v>
      </c>
      <c r="Y582" t="s">
        <v>7992</v>
      </c>
      <c r="Z582" t="s">
        <v>7993</v>
      </c>
      <c r="AA582" t="s">
        <v>7994</v>
      </c>
      <c r="AB582" t="s">
        <v>7995</v>
      </c>
      <c r="AC582" t="s">
        <v>74</v>
      </c>
      <c r="AD582" t="s">
        <v>74</v>
      </c>
      <c r="AE582" t="s">
        <v>74</v>
      </c>
      <c r="AF582" t="s">
        <v>74</v>
      </c>
      <c r="AG582">
        <v>26</v>
      </c>
      <c r="AH582">
        <v>21</v>
      </c>
      <c r="AI582">
        <v>27</v>
      </c>
      <c r="AJ582">
        <v>1</v>
      </c>
      <c r="AK582">
        <v>14</v>
      </c>
      <c r="AL582" t="s">
        <v>5678</v>
      </c>
      <c r="AM582" t="s">
        <v>683</v>
      </c>
      <c r="AN582" t="s">
        <v>1268</v>
      </c>
      <c r="AO582" t="s">
        <v>7996</v>
      </c>
      <c r="AP582" t="s">
        <v>7997</v>
      </c>
      <c r="AQ582" t="s">
        <v>74</v>
      </c>
      <c r="AR582" t="s">
        <v>7998</v>
      </c>
      <c r="AS582" t="s">
        <v>7999</v>
      </c>
      <c r="AT582" t="s">
        <v>7982</v>
      </c>
      <c r="AU582">
        <v>2001</v>
      </c>
      <c r="AV582">
        <v>61</v>
      </c>
      <c r="AW582" t="s">
        <v>74</v>
      </c>
      <c r="AX582">
        <v>5</v>
      </c>
      <c r="AY582" t="s">
        <v>74</v>
      </c>
      <c r="AZ582" t="s">
        <v>74</v>
      </c>
      <c r="BA582" t="s">
        <v>74</v>
      </c>
      <c r="BB582">
        <v>959</v>
      </c>
      <c r="BC582">
        <v>967</v>
      </c>
      <c r="BD582" t="s">
        <v>74</v>
      </c>
      <c r="BE582" t="s">
        <v>8000</v>
      </c>
      <c r="BF582" t="str">
        <f>HYPERLINK("http://dx.doi.org/10.1006/anbe.2000.1663","http://dx.doi.org/10.1006/anbe.2000.1663")</f>
        <v>http://dx.doi.org/10.1006/anbe.2000.1663</v>
      </c>
      <c r="BG582" t="s">
        <v>74</v>
      </c>
      <c r="BH582" t="s">
        <v>74</v>
      </c>
      <c r="BI582">
        <v>9</v>
      </c>
      <c r="BJ582" t="s">
        <v>8001</v>
      </c>
      <c r="BK582" t="s">
        <v>88</v>
      </c>
      <c r="BL582" t="s">
        <v>8001</v>
      </c>
      <c r="BM582" t="s">
        <v>8002</v>
      </c>
      <c r="BN582" t="s">
        <v>74</v>
      </c>
      <c r="BO582" t="s">
        <v>74</v>
      </c>
      <c r="BP582" t="s">
        <v>74</v>
      </c>
      <c r="BQ582" t="s">
        <v>74</v>
      </c>
      <c r="BR582" t="s">
        <v>91</v>
      </c>
      <c r="BS582" t="s">
        <v>8003</v>
      </c>
      <c r="BT582" t="str">
        <f>HYPERLINK("https%3A%2F%2Fwww.webofscience.com%2Fwos%2Fwoscc%2Ffull-record%2FWOS:000169360600011","View Full Record in Web of Science")</f>
        <v>View Full Record in Web of Science</v>
      </c>
    </row>
    <row r="583" spans="1:72" x14ac:dyDescent="0.15">
      <c r="A583" t="s">
        <v>72</v>
      </c>
      <c r="B583" t="s">
        <v>8004</v>
      </c>
      <c r="C583" t="s">
        <v>74</v>
      </c>
      <c r="D583" t="s">
        <v>74</v>
      </c>
      <c r="E583" t="s">
        <v>74</v>
      </c>
      <c r="F583" t="s">
        <v>8004</v>
      </c>
      <c r="G583" t="s">
        <v>74</v>
      </c>
      <c r="H583" t="s">
        <v>74</v>
      </c>
      <c r="I583" t="s">
        <v>8005</v>
      </c>
      <c r="J583" t="s">
        <v>7988</v>
      </c>
      <c r="K583" t="s">
        <v>74</v>
      </c>
      <c r="L583" t="s">
        <v>74</v>
      </c>
      <c r="M583" t="s">
        <v>77</v>
      </c>
      <c r="N583" t="s">
        <v>414</v>
      </c>
      <c r="O583" t="s">
        <v>74</v>
      </c>
      <c r="P583" t="s">
        <v>74</v>
      </c>
      <c r="Q583" t="s">
        <v>74</v>
      </c>
      <c r="R583" t="s">
        <v>74</v>
      </c>
      <c r="S583" t="s">
        <v>74</v>
      </c>
      <c r="T583" t="s">
        <v>74</v>
      </c>
      <c r="U583" t="s">
        <v>8006</v>
      </c>
      <c r="V583" t="s">
        <v>74</v>
      </c>
      <c r="W583" t="s">
        <v>8007</v>
      </c>
      <c r="X583" t="s">
        <v>8008</v>
      </c>
      <c r="Y583" t="s">
        <v>8009</v>
      </c>
      <c r="Z583" t="s">
        <v>74</v>
      </c>
      <c r="AA583" t="s">
        <v>8010</v>
      </c>
      <c r="AB583" t="s">
        <v>8011</v>
      </c>
      <c r="AC583" t="s">
        <v>74</v>
      </c>
      <c r="AD583" t="s">
        <v>74</v>
      </c>
      <c r="AE583" t="s">
        <v>74</v>
      </c>
      <c r="AF583" t="s">
        <v>74</v>
      </c>
      <c r="AG583">
        <v>22</v>
      </c>
      <c r="AH583">
        <v>225</v>
      </c>
      <c r="AI583">
        <v>272</v>
      </c>
      <c r="AJ583">
        <v>1</v>
      </c>
      <c r="AK583">
        <v>28</v>
      </c>
      <c r="AL583" t="s">
        <v>1267</v>
      </c>
      <c r="AM583" t="s">
        <v>683</v>
      </c>
      <c r="AN583" t="s">
        <v>1268</v>
      </c>
      <c r="AO583" t="s">
        <v>7996</v>
      </c>
      <c r="AP583" t="s">
        <v>74</v>
      </c>
      <c r="AQ583" t="s">
        <v>74</v>
      </c>
      <c r="AR583" t="s">
        <v>7998</v>
      </c>
      <c r="AS583" t="s">
        <v>7999</v>
      </c>
      <c r="AT583" t="s">
        <v>7982</v>
      </c>
      <c r="AU583">
        <v>2001</v>
      </c>
      <c r="AV583">
        <v>61</v>
      </c>
      <c r="AW583" t="s">
        <v>74</v>
      </c>
      <c r="AX583">
        <v>5</v>
      </c>
      <c r="AY583" t="s">
        <v>74</v>
      </c>
      <c r="AZ583" t="s">
        <v>74</v>
      </c>
      <c r="BA583" t="s">
        <v>74</v>
      </c>
      <c r="BB583">
        <v>1035</v>
      </c>
      <c r="BC583">
        <v>1040</v>
      </c>
      <c r="BD583" t="s">
        <v>74</v>
      </c>
      <c r="BE583" t="s">
        <v>8012</v>
      </c>
      <c r="BF583" t="str">
        <f>HYPERLINK("http://dx.doi.org/10.1006/anbe.2001.1685","http://dx.doi.org/10.1006/anbe.2001.1685")</f>
        <v>http://dx.doi.org/10.1006/anbe.2001.1685</v>
      </c>
      <c r="BG583" t="s">
        <v>74</v>
      </c>
      <c r="BH583" t="s">
        <v>74</v>
      </c>
      <c r="BI583">
        <v>6</v>
      </c>
      <c r="BJ583" t="s">
        <v>8001</v>
      </c>
      <c r="BK583" t="s">
        <v>88</v>
      </c>
      <c r="BL583" t="s">
        <v>8001</v>
      </c>
      <c r="BM583" t="s">
        <v>8002</v>
      </c>
      <c r="BN583" t="s">
        <v>74</v>
      </c>
      <c r="BO583" t="s">
        <v>74</v>
      </c>
      <c r="BP583" t="s">
        <v>74</v>
      </c>
      <c r="BQ583" t="s">
        <v>74</v>
      </c>
      <c r="BR583" t="s">
        <v>91</v>
      </c>
      <c r="BS583" t="s">
        <v>8013</v>
      </c>
      <c r="BT583" t="str">
        <f>HYPERLINK("https%3A%2F%2Fwww.webofscience.com%2Fwos%2Fwoscc%2Ffull-record%2FWOS:000169360600021","View Full Record in Web of Science")</f>
        <v>View Full Record in Web of Science</v>
      </c>
    </row>
    <row r="584" spans="1:72" x14ac:dyDescent="0.15">
      <c r="A584" t="s">
        <v>72</v>
      </c>
      <c r="B584" t="s">
        <v>5148</v>
      </c>
      <c r="C584" t="s">
        <v>74</v>
      </c>
      <c r="D584" t="s">
        <v>74</v>
      </c>
      <c r="E584" t="s">
        <v>74</v>
      </c>
      <c r="F584" t="s">
        <v>5148</v>
      </c>
      <c r="G584" t="s">
        <v>74</v>
      </c>
      <c r="H584" t="s">
        <v>74</v>
      </c>
      <c r="I584" t="s">
        <v>8014</v>
      </c>
      <c r="J584" t="s">
        <v>5718</v>
      </c>
      <c r="K584" t="s">
        <v>74</v>
      </c>
      <c r="L584" t="s">
        <v>74</v>
      </c>
      <c r="M584" t="s">
        <v>77</v>
      </c>
      <c r="N584" t="s">
        <v>120</v>
      </c>
      <c r="O584" t="s">
        <v>74</v>
      </c>
      <c r="P584" t="s">
        <v>74</v>
      </c>
      <c r="Q584" t="s">
        <v>74</v>
      </c>
      <c r="R584" t="s">
        <v>74</v>
      </c>
      <c r="S584" t="s">
        <v>74</v>
      </c>
      <c r="T584" t="s">
        <v>8015</v>
      </c>
      <c r="U584" t="s">
        <v>8016</v>
      </c>
      <c r="V584" t="s">
        <v>8017</v>
      </c>
      <c r="W584" t="s">
        <v>8018</v>
      </c>
      <c r="X584" t="s">
        <v>5153</v>
      </c>
      <c r="Y584" t="s">
        <v>8019</v>
      </c>
      <c r="Z584" t="s">
        <v>74</v>
      </c>
      <c r="AA584" t="s">
        <v>74</v>
      </c>
      <c r="AB584" t="s">
        <v>74</v>
      </c>
      <c r="AC584" t="s">
        <v>74</v>
      </c>
      <c r="AD584" t="s">
        <v>74</v>
      </c>
      <c r="AE584" t="s">
        <v>74</v>
      </c>
      <c r="AF584" t="s">
        <v>74</v>
      </c>
      <c r="AG584">
        <v>49</v>
      </c>
      <c r="AH584">
        <v>8</v>
      </c>
      <c r="AI584">
        <v>8</v>
      </c>
      <c r="AJ584">
        <v>0</v>
      </c>
      <c r="AK584">
        <v>3</v>
      </c>
      <c r="AL584" t="s">
        <v>5725</v>
      </c>
      <c r="AM584" t="s">
        <v>5726</v>
      </c>
      <c r="AN584" t="s">
        <v>5727</v>
      </c>
      <c r="AO584" t="s">
        <v>5728</v>
      </c>
      <c r="AP584" t="s">
        <v>74</v>
      </c>
      <c r="AQ584" t="s">
        <v>74</v>
      </c>
      <c r="AR584" t="s">
        <v>5729</v>
      </c>
      <c r="AS584" t="s">
        <v>5730</v>
      </c>
      <c r="AT584" t="s">
        <v>7982</v>
      </c>
      <c r="AU584">
        <v>2001</v>
      </c>
      <c r="AV584">
        <v>19</v>
      </c>
      <c r="AW584">
        <v>5</v>
      </c>
      <c r="AX584" t="s">
        <v>74</v>
      </c>
      <c r="AY584" t="s">
        <v>74</v>
      </c>
      <c r="AZ584" t="s">
        <v>74</v>
      </c>
      <c r="BA584" t="s">
        <v>74</v>
      </c>
      <c r="BB584">
        <v>533</v>
      </c>
      <c r="BC584">
        <v>543</v>
      </c>
      <c r="BD584" t="s">
        <v>74</v>
      </c>
      <c r="BE584" t="s">
        <v>8020</v>
      </c>
      <c r="BF584" t="str">
        <f>HYPERLINK("http://dx.doi.org/10.5194/angeo-19-533-2001","http://dx.doi.org/10.5194/angeo-19-533-2001")</f>
        <v>http://dx.doi.org/10.5194/angeo-19-533-2001</v>
      </c>
      <c r="BG584" t="s">
        <v>74</v>
      </c>
      <c r="BH584" t="s">
        <v>74</v>
      </c>
      <c r="BI584">
        <v>11</v>
      </c>
      <c r="BJ584" t="s">
        <v>5732</v>
      </c>
      <c r="BK584" t="s">
        <v>88</v>
      </c>
      <c r="BL584" t="s">
        <v>5733</v>
      </c>
      <c r="BM584" t="s">
        <v>8021</v>
      </c>
      <c r="BN584" t="s">
        <v>74</v>
      </c>
      <c r="BO584" t="s">
        <v>325</v>
      </c>
      <c r="BP584" t="s">
        <v>74</v>
      </c>
      <c r="BQ584" t="s">
        <v>74</v>
      </c>
      <c r="BR584" t="s">
        <v>91</v>
      </c>
      <c r="BS584" t="s">
        <v>8022</v>
      </c>
      <c r="BT584" t="str">
        <f>HYPERLINK("https%3A%2F%2Fwww.webofscience.com%2Fwos%2Fwoscc%2Ffull-record%2FWOS:000169901000004","View Full Record in Web of Science")</f>
        <v>View Full Record in Web of Science</v>
      </c>
    </row>
    <row r="585" spans="1:72" x14ac:dyDescent="0.15">
      <c r="A585" t="s">
        <v>72</v>
      </c>
      <c r="B585" t="s">
        <v>8023</v>
      </c>
      <c r="C585" t="s">
        <v>74</v>
      </c>
      <c r="D585" t="s">
        <v>74</v>
      </c>
      <c r="E585" t="s">
        <v>74</v>
      </c>
      <c r="F585" t="s">
        <v>8023</v>
      </c>
      <c r="G585" t="s">
        <v>74</v>
      </c>
      <c r="H585" t="s">
        <v>74</v>
      </c>
      <c r="I585" t="s">
        <v>8024</v>
      </c>
      <c r="J585" t="s">
        <v>765</v>
      </c>
      <c r="K585" t="s">
        <v>74</v>
      </c>
      <c r="L585" t="s">
        <v>74</v>
      </c>
      <c r="M585" t="s">
        <v>77</v>
      </c>
      <c r="N585" t="s">
        <v>120</v>
      </c>
      <c r="O585" t="s">
        <v>74</v>
      </c>
      <c r="P585" t="s">
        <v>74</v>
      </c>
      <c r="Q585" t="s">
        <v>74</v>
      </c>
      <c r="R585" t="s">
        <v>74</v>
      </c>
      <c r="S585" t="s">
        <v>74</v>
      </c>
      <c r="T585" t="s">
        <v>8025</v>
      </c>
      <c r="U585" t="s">
        <v>8026</v>
      </c>
      <c r="V585" t="s">
        <v>8027</v>
      </c>
      <c r="W585" t="s">
        <v>8028</v>
      </c>
      <c r="X585" t="s">
        <v>8029</v>
      </c>
      <c r="Y585" t="s">
        <v>8030</v>
      </c>
      <c r="Z585" t="s">
        <v>8031</v>
      </c>
      <c r="AA585" t="s">
        <v>8032</v>
      </c>
      <c r="AB585" t="s">
        <v>8033</v>
      </c>
      <c r="AC585" t="s">
        <v>74</v>
      </c>
      <c r="AD585" t="s">
        <v>74</v>
      </c>
      <c r="AE585" t="s">
        <v>74</v>
      </c>
      <c r="AF585" t="s">
        <v>74</v>
      </c>
      <c r="AG585">
        <v>48</v>
      </c>
      <c r="AH585">
        <v>7</v>
      </c>
      <c r="AI585">
        <v>8</v>
      </c>
      <c r="AJ585">
        <v>0</v>
      </c>
      <c r="AK585">
        <v>14</v>
      </c>
      <c r="AL585" t="s">
        <v>773</v>
      </c>
      <c r="AM585" t="s">
        <v>774</v>
      </c>
      <c r="AN585" t="s">
        <v>775</v>
      </c>
      <c r="AO585" t="s">
        <v>776</v>
      </c>
      <c r="AP585" t="s">
        <v>74</v>
      </c>
      <c r="AQ585" t="s">
        <v>74</v>
      </c>
      <c r="AR585" t="s">
        <v>777</v>
      </c>
      <c r="AS585" t="s">
        <v>778</v>
      </c>
      <c r="AT585" t="s">
        <v>7982</v>
      </c>
      <c r="AU585">
        <v>2001</v>
      </c>
      <c r="AV585">
        <v>151</v>
      </c>
      <c r="AW585">
        <v>2</v>
      </c>
      <c r="AX585" t="s">
        <v>74</v>
      </c>
      <c r="AY585" t="s">
        <v>74</v>
      </c>
      <c r="AZ585" t="s">
        <v>74</v>
      </c>
      <c r="BA585" t="s">
        <v>74</v>
      </c>
      <c r="BB585">
        <v>301</v>
      </c>
      <c r="BC585">
        <v>315</v>
      </c>
      <c r="BD585" t="s">
        <v>74</v>
      </c>
      <c r="BE585" t="s">
        <v>74</v>
      </c>
      <c r="BF585" t="s">
        <v>74</v>
      </c>
      <c r="BG585" t="s">
        <v>74</v>
      </c>
      <c r="BH585" t="s">
        <v>74</v>
      </c>
      <c r="BI585">
        <v>15</v>
      </c>
      <c r="BJ585" t="s">
        <v>779</v>
      </c>
      <c r="BK585" t="s">
        <v>88</v>
      </c>
      <c r="BL585" t="s">
        <v>323</v>
      </c>
      <c r="BM585" t="s">
        <v>8034</v>
      </c>
      <c r="BN585" t="s">
        <v>74</v>
      </c>
      <c r="BO585" t="s">
        <v>74</v>
      </c>
      <c r="BP585" t="s">
        <v>74</v>
      </c>
      <c r="BQ585" t="s">
        <v>74</v>
      </c>
      <c r="BR585" t="s">
        <v>91</v>
      </c>
      <c r="BS585" t="s">
        <v>8035</v>
      </c>
      <c r="BT585" t="str">
        <f>HYPERLINK("https%3A%2F%2Fwww.webofscience.com%2Fwos%2Fwoscc%2Ffull-record%2FWOS:000169015400007","View Full Record in Web of Science")</f>
        <v>View Full Record in Web of Science</v>
      </c>
    </row>
    <row r="586" spans="1:72" x14ac:dyDescent="0.15">
      <c r="A586" t="s">
        <v>72</v>
      </c>
      <c r="B586" t="s">
        <v>8036</v>
      </c>
      <c r="C586" t="s">
        <v>74</v>
      </c>
      <c r="D586" t="s">
        <v>74</v>
      </c>
      <c r="E586" t="s">
        <v>74</v>
      </c>
      <c r="F586" t="s">
        <v>8036</v>
      </c>
      <c r="G586" t="s">
        <v>74</v>
      </c>
      <c r="H586" t="s">
        <v>74</v>
      </c>
      <c r="I586" t="s">
        <v>8037</v>
      </c>
      <c r="J586" t="s">
        <v>784</v>
      </c>
      <c r="K586" t="s">
        <v>74</v>
      </c>
      <c r="L586" t="s">
        <v>74</v>
      </c>
      <c r="M586" t="s">
        <v>77</v>
      </c>
      <c r="N586" t="s">
        <v>120</v>
      </c>
      <c r="O586" t="s">
        <v>74</v>
      </c>
      <c r="P586" t="s">
        <v>74</v>
      </c>
      <c r="Q586" t="s">
        <v>74</v>
      </c>
      <c r="R586" t="s">
        <v>74</v>
      </c>
      <c r="S586" t="s">
        <v>74</v>
      </c>
      <c r="T586" t="s">
        <v>74</v>
      </c>
      <c r="U586" t="s">
        <v>8038</v>
      </c>
      <c r="V586" t="s">
        <v>8039</v>
      </c>
      <c r="W586" t="s">
        <v>8040</v>
      </c>
      <c r="X586" t="s">
        <v>8041</v>
      </c>
      <c r="Y586" t="s">
        <v>8042</v>
      </c>
      <c r="Z586" t="s">
        <v>8043</v>
      </c>
      <c r="AA586" t="s">
        <v>8044</v>
      </c>
      <c r="AB586" t="s">
        <v>8045</v>
      </c>
      <c r="AC586" t="s">
        <v>74</v>
      </c>
      <c r="AD586" t="s">
        <v>74</v>
      </c>
      <c r="AE586" t="s">
        <v>74</v>
      </c>
      <c r="AF586" t="s">
        <v>74</v>
      </c>
      <c r="AG586">
        <v>31</v>
      </c>
      <c r="AH586">
        <v>218</v>
      </c>
      <c r="AI586">
        <v>233</v>
      </c>
      <c r="AJ586">
        <v>0</v>
      </c>
      <c r="AK586">
        <v>66</v>
      </c>
      <c r="AL586" t="s">
        <v>104</v>
      </c>
      <c r="AM586" t="s">
        <v>105</v>
      </c>
      <c r="AN586" t="s">
        <v>106</v>
      </c>
      <c r="AO586" t="s">
        <v>794</v>
      </c>
      <c r="AP586" t="s">
        <v>814</v>
      </c>
      <c r="AQ586" t="s">
        <v>74</v>
      </c>
      <c r="AR586" t="s">
        <v>795</v>
      </c>
      <c r="AS586" t="s">
        <v>796</v>
      </c>
      <c r="AT586" t="s">
        <v>7982</v>
      </c>
      <c r="AU586">
        <v>2001</v>
      </c>
      <c r="AV586">
        <v>33</v>
      </c>
      <c r="AW586">
        <v>2</v>
      </c>
      <c r="AX586" t="s">
        <v>74</v>
      </c>
      <c r="AY586" t="s">
        <v>74</v>
      </c>
      <c r="AZ586" t="s">
        <v>74</v>
      </c>
      <c r="BA586" t="s">
        <v>74</v>
      </c>
      <c r="BB586">
        <v>115</v>
      </c>
      <c r="BC586">
        <v>122</v>
      </c>
      <c r="BD586" t="s">
        <v>74</v>
      </c>
      <c r="BE586" t="s">
        <v>8046</v>
      </c>
      <c r="BF586" t="str">
        <f>HYPERLINK("http://dx.doi.org/10.2307/1552211","http://dx.doi.org/10.2307/1552211")</f>
        <v>http://dx.doi.org/10.2307/1552211</v>
      </c>
      <c r="BG586" t="s">
        <v>74</v>
      </c>
      <c r="BH586" t="s">
        <v>74</v>
      </c>
      <c r="BI586">
        <v>8</v>
      </c>
      <c r="BJ586" t="s">
        <v>798</v>
      </c>
      <c r="BK586" t="s">
        <v>88</v>
      </c>
      <c r="BL586" t="s">
        <v>799</v>
      </c>
      <c r="BM586" t="s">
        <v>8047</v>
      </c>
      <c r="BN586" t="s">
        <v>74</v>
      </c>
      <c r="BO586" t="s">
        <v>171</v>
      </c>
      <c r="BP586" t="s">
        <v>74</v>
      </c>
      <c r="BQ586" t="s">
        <v>74</v>
      </c>
      <c r="BR586" t="s">
        <v>91</v>
      </c>
      <c r="BS586" t="s">
        <v>8048</v>
      </c>
      <c r="BT586" t="str">
        <f>HYPERLINK("https%3A%2F%2Fwww.webofscience.com%2Fwos%2Fwoscc%2Ffull-record%2FWOS:000169174800001","View Full Record in Web of Science")</f>
        <v>View Full Record in Web of Science</v>
      </c>
    </row>
    <row r="587" spans="1:72" x14ac:dyDescent="0.15">
      <c r="A587" t="s">
        <v>72</v>
      </c>
      <c r="B587" t="s">
        <v>8049</v>
      </c>
      <c r="C587" t="s">
        <v>74</v>
      </c>
      <c r="D587" t="s">
        <v>74</v>
      </c>
      <c r="E587" t="s">
        <v>74</v>
      </c>
      <c r="F587" t="s">
        <v>8049</v>
      </c>
      <c r="G587" t="s">
        <v>74</v>
      </c>
      <c r="H587" t="s">
        <v>74</v>
      </c>
      <c r="I587" t="s">
        <v>8050</v>
      </c>
      <c r="J587" t="s">
        <v>784</v>
      </c>
      <c r="K587" t="s">
        <v>74</v>
      </c>
      <c r="L587" t="s">
        <v>74</v>
      </c>
      <c r="M587" t="s">
        <v>77</v>
      </c>
      <c r="N587" t="s">
        <v>120</v>
      </c>
      <c r="O587" t="s">
        <v>74</v>
      </c>
      <c r="P587" t="s">
        <v>74</v>
      </c>
      <c r="Q587" t="s">
        <v>74</v>
      </c>
      <c r="R587" t="s">
        <v>74</v>
      </c>
      <c r="S587" t="s">
        <v>74</v>
      </c>
      <c r="T587" t="s">
        <v>74</v>
      </c>
      <c r="U587" t="s">
        <v>8051</v>
      </c>
      <c r="V587" t="s">
        <v>8052</v>
      </c>
      <c r="W587" t="s">
        <v>8053</v>
      </c>
      <c r="X587" t="s">
        <v>74</v>
      </c>
      <c r="Y587" t="s">
        <v>8054</v>
      </c>
      <c r="Z587" t="s">
        <v>8055</v>
      </c>
      <c r="AA587" t="s">
        <v>74</v>
      </c>
      <c r="AB587" t="s">
        <v>74</v>
      </c>
      <c r="AC587" t="s">
        <v>74</v>
      </c>
      <c r="AD587" t="s">
        <v>74</v>
      </c>
      <c r="AE587" t="s">
        <v>74</v>
      </c>
      <c r="AF587" t="s">
        <v>74</v>
      </c>
      <c r="AG587">
        <v>48</v>
      </c>
      <c r="AH587">
        <v>23</v>
      </c>
      <c r="AI587">
        <v>26</v>
      </c>
      <c r="AJ587">
        <v>0</v>
      </c>
      <c r="AK587">
        <v>15</v>
      </c>
      <c r="AL587" t="s">
        <v>104</v>
      </c>
      <c r="AM587" t="s">
        <v>105</v>
      </c>
      <c r="AN587" t="s">
        <v>106</v>
      </c>
      <c r="AO587" t="s">
        <v>794</v>
      </c>
      <c r="AP587" t="s">
        <v>814</v>
      </c>
      <c r="AQ587" t="s">
        <v>74</v>
      </c>
      <c r="AR587" t="s">
        <v>795</v>
      </c>
      <c r="AS587" t="s">
        <v>796</v>
      </c>
      <c r="AT587" t="s">
        <v>7982</v>
      </c>
      <c r="AU587">
        <v>2001</v>
      </c>
      <c r="AV587">
        <v>33</v>
      </c>
      <c r="AW587">
        <v>2</v>
      </c>
      <c r="AX587" t="s">
        <v>74</v>
      </c>
      <c r="AY587" t="s">
        <v>74</v>
      </c>
      <c r="AZ587" t="s">
        <v>74</v>
      </c>
      <c r="BA587" t="s">
        <v>74</v>
      </c>
      <c r="BB587">
        <v>123</v>
      </c>
      <c r="BC587">
        <v>130</v>
      </c>
      <c r="BD587" t="s">
        <v>74</v>
      </c>
      <c r="BE587" t="s">
        <v>8056</v>
      </c>
      <c r="BF587" t="str">
        <f>HYPERLINK("http://dx.doi.org/10.2307/1552212","http://dx.doi.org/10.2307/1552212")</f>
        <v>http://dx.doi.org/10.2307/1552212</v>
      </c>
      <c r="BG587" t="s">
        <v>74</v>
      </c>
      <c r="BH587" t="s">
        <v>74</v>
      </c>
      <c r="BI587">
        <v>8</v>
      </c>
      <c r="BJ587" t="s">
        <v>798</v>
      </c>
      <c r="BK587" t="s">
        <v>88</v>
      </c>
      <c r="BL587" t="s">
        <v>799</v>
      </c>
      <c r="BM587" t="s">
        <v>8047</v>
      </c>
      <c r="BN587" t="s">
        <v>74</v>
      </c>
      <c r="BO587" t="s">
        <v>171</v>
      </c>
      <c r="BP587" t="s">
        <v>74</v>
      </c>
      <c r="BQ587" t="s">
        <v>74</v>
      </c>
      <c r="BR587" t="s">
        <v>91</v>
      </c>
      <c r="BS587" t="s">
        <v>8057</v>
      </c>
      <c r="BT587" t="str">
        <f>HYPERLINK("https%3A%2F%2Fwww.webofscience.com%2Fwos%2Fwoscc%2Ffull-record%2FWOS:000169174800002","View Full Record in Web of Science")</f>
        <v>View Full Record in Web of Science</v>
      </c>
    </row>
    <row r="588" spans="1:72" x14ac:dyDescent="0.15">
      <c r="A588" t="s">
        <v>72</v>
      </c>
      <c r="B588" t="s">
        <v>8058</v>
      </c>
      <c r="C588" t="s">
        <v>74</v>
      </c>
      <c r="D588" t="s">
        <v>74</v>
      </c>
      <c r="E588" t="s">
        <v>74</v>
      </c>
      <c r="F588" t="s">
        <v>8058</v>
      </c>
      <c r="G588" t="s">
        <v>74</v>
      </c>
      <c r="H588" t="s">
        <v>74</v>
      </c>
      <c r="I588" t="s">
        <v>8059</v>
      </c>
      <c r="J588" t="s">
        <v>784</v>
      </c>
      <c r="K588" t="s">
        <v>74</v>
      </c>
      <c r="L588" t="s">
        <v>74</v>
      </c>
      <c r="M588" t="s">
        <v>77</v>
      </c>
      <c r="N588" t="s">
        <v>120</v>
      </c>
      <c r="O588" t="s">
        <v>74</v>
      </c>
      <c r="P588" t="s">
        <v>74</v>
      </c>
      <c r="Q588" t="s">
        <v>74</v>
      </c>
      <c r="R588" t="s">
        <v>74</v>
      </c>
      <c r="S588" t="s">
        <v>74</v>
      </c>
      <c r="T588" t="s">
        <v>74</v>
      </c>
      <c r="U588" t="s">
        <v>8060</v>
      </c>
      <c r="V588" t="s">
        <v>8061</v>
      </c>
      <c r="W588" t="s">
        <v>8062</v>
      </c>
      <c r="X588" t="s">
        <v>8063</v>
      </c>
      <c r="Y588" t="s">
        <v>8064</v>
      </c>
      <c r="Z588" t="s">
        <v>8065</v>
      </c>
      <c r="AA588" t="s">
        <v>74</v>
      </c>
      <c r="AB588" t="s">
        <v>74</v>
      </c>
      <c r="AC588" t="s">
        <v>74</v>
      </c>
      <c r="AD588" t="s">
        <v>74</v>
      </c>
      <c r="AE588" t="s">
        <v>74</v>
      </c>
      <c r="AF588" t="s">
        <v>74</v>
      </c>
      <c r="AG588">
        <v>27</v>
      </c>
      <c r="AH588">
        <v>7</v>
      </c>
      <c r="AI588">
        <v>7</v>
      </c>
      <c r="AJ588">
        <v>1</v>
      </c>
      <c r="AK588">
        <v>8</v>
      </c>
      <c r="AL588" t="s">
        <v>104</v>
      </c>
      <c r="AM588" t="s">
        <v>105</v>
      </c>
      <c r="AN588" t="s">
        <v>106</v>
      </c>
      <c r="AO588" t="s">
        <v>794</v>
      </c>
      <c r="AP588" t="s">
        <v>814</v>
      </c>
      <c r="AQ588" t="s">
        <v>74</v>
      </c>
      <c r="AR588" t="s">
        <v>795</v>
      </c>
      <c r="AS588" t="s">
        <v>796</v>
      </c>
      <c r="AT588" t="s">
        <v>7982</v>
      </c>
      <c r="AU588">
        <v>2001</v>
      </c>
      <c r="AV588">
        <v>33</v>
      </c>
      <c r="AW588">
        <v>2</v>
      </c>
      <c r="AX588" t="s">
        <v>74</v>
      </c>
      <c r="AY588" t="s">
        <v>74</v>
      </c>
      <c r="AZ588" t="s">
        <v>74</v>
      </c>
      <c r="BA588" t="s">
        <v>74</v>
      </c>
      <c r="BB588">
        <v>131</v>
      </c>
      <c r="BC588">
        <v>139</v>
      </c>
      <c r="BD588" t="s">
        <v>74</v>
      </c>
      <c r="BE588" t="s">
        <v>8066</v>
      </c>
      <c r="BF588" t="str">
        <f>HYPERLINK("http://dx.doi.org/10.2307/1552213","http://dx.doi.org/10.2307/1552213")</f>
        <v>http://dx.doi.org/10.2307/1552213</v>
      </c>
      <c r="BG588" t="s">
        <v>74</v>
      </c>
      <c r="BH588" t="s">
        <v>74</v>
      </c>
      <c r="BI588">
        <v>9</v>
      </c>
      <c r="BJ588" t="s">
        <v>798</v>
      </c>
      <c r="BK588" t="s">
        <v>88</v>
      </c>
      <c r="BL588" t="s">
        <v>799</v>
      </c>
      <c r="BM588" t="s">
        <v>8047</v>
      </c>
      <c r="BN588" t="s">
        <v>74</v>
      </c>
      <c r="BO588" t="s">
        <v>74</v>
      </c>
      <c r="BP588" t="s">
        <v>74</v>
      </c>
      <c r="BQ588" t="s">
        <v>74</v>
      </c>
      <c r="BR588" t="s">
        <v>91</v>
      </c>
      <c r="BS588" t="s">
        <v>8067</v>
      </c>
      <c r="BT588" t="str">
        <f>HYPERLINK("https%3A%2F%2Fwww.webofscience.com%2Fwos%2Fwoscc%2Ffull-record%2FWOS:000169174800003","View Full Record in Web of Science")</f>
        <v>View Full Record in Web of Science</v>
      </c>
    </row>
    <row r="589" spans="1:72" x14ac:dyDescent="0.15">
      <c r="A589" t="s">
        <v>72</v>
      </c>
      <c r="B589" t="s">
        <v>8068</v>
      </c>
      <c r="C589" t="s">
        <v>74</v>
      </c>
      <c r="D589" t="s">
        <v>74</v>
      </c>
      <c r="E589" t="s">
        <v>74</v>
      </c>
      <c r="F589" t="s">
        <v>8068</v>
      </c>
      <c r="G589" t="s">
        <v>74</v>
      </c>
      <c r="H589" t="s">
        <v>74</v>
      </c>
      <c r="I589" t="s">
        <v>8069</v>
      </c>
      <c r="J589" t="s">
        <v>784</v>
      </c>
      <c r="K589" t="s">
        <v>74</v>
      </c>
      <c r="L589" t="s">
        <v>74</v>
      </c>
      <c r="M589" t="s">
        <v>77</v>
      </c>
      <c r="N589" t="s">
        <v>120</v>
      </c>
      <c r="O589" t="s">
        <v>74</v>
      </c>
      <c r="P589" t="s">
        <v>74</v>
      </c>
      <c r="Q589" t="s">
        <v>74</v>
      </c>
      <c r="R589" t="s">
        <v>74</v>
      </c>
      <c r="S589" t="s">
        <v>74</v>
      </c>
      <c r="T589" t="s">
        <v>74</v>
      </c>
      <c r="U589" t="s">
        <v>8070</v>
      </c>
      <c r="V589" t="s">
        <v>8071</v>
      </c>
      <c r="W589" t="s">
        <v>8072</v>
      </c>
      <c r="X589" t="s">
        <v>8073</v>
      </c>
      <c r="Y589" t="s">
        <v>8074</v>
      </c>
      <c r="Z589" t="s">
        <v>74</v>
      </c>
      <c r="AA589" t="s">
        <v>8075</v>
      </c>
      <c r="AB589" t="s">
        <v>8076</v>
      </c>
      <c r="AC589" t="s">
        <v>74</v>
      </c>
      <c r="AD589" t="s">
        <v>74</v>
      </c>
      <c r="AE589" t="s">
        <v>74</v>
      </c>
      <c r="AF589" t="s">
        <v>74</v>
      </c>
      <c r="AG589">
        <v>57</v>
      </c>
      <c r="AH589">
        <v>133</v>
      </c>
      <c r="AI589">
        <v>174</v>
      </c>
      <c r="AJ589">
        <v>0</v>
      </c>
      <c r="AK589">
        <v>22</v>
      </c>
      <c r="AL589" t="s">
        <v>791</v>
      </c>
      <c r="AM589" t="s">
        <v>792</v>
      </c>
      <c r="AN589" t="s">
        <v>793</v>
      </c>
      <c r="AO589" t="s">
        <v>794</v>
      </c>
      <c r="AP589" t="s">
        <v>74</v>
      </c>
      <c r="AQ589" t="s">
        <v>74</v>
      </c>
      <c r="AR589" t="s">
        <v>795</v>
      </c>
      <c r="AS589" t="s">
        <v>796</v>
      </c>
      <c r="AT589" t="s">
        <v>7982</v>
      </c>
      <c r="AU589">
        <v>2001</v>
      </c>
      <c r="AV589">
        <v>33</v>
      </c>
      <c r="AW589">
        <v>2</v>
      </c>
      <c r="AX589" t="s">
        <v>74</v>
      </c>
      <c r="AY589" t="s">
        <v>74</v>
      </c>
      <c r="AZ589" t="s">
        <v>74</v>
      </c>
      <c r="BA589" t="s">
        <v>74</v>
      </c>
      <c r="BB589">
        <v>140</v>
      </c>
      <c r="BC589">
        <v>148</v>
      </c>
      <c r="BD589" t="s">
        <v>74</v>
      </c>
      <c r="BE589" t="s">
        <v>8077</v>
      </c>
      <c r="BF589" t="str">
        <f>HYPERLINK("http://dx.doi.org/10.2307/1552214","http://dx.doi.org/10.2307/1552214")</f>
        <v>http://dx.doi.org/10.2307/1552214</v>
      </c>
      <c r="BG589" t="s">
        <v>74</v>
      </c>
      <c r="BH589" t="s">
        <v>74</v>
      </c>
      <c r="BI589">
        <v>9</v>
      </c>
      <c r="BJ589" t="s">
        <v>798</v>
      </c>
      <c r="BK589" t="s">
        <v>88</v>
      </c>
      <c r="BL589" t="s">
        <v>799</v>
      </c>
      <c r="BM589" t="s">
        <v>8047</v>
      </c>
      <c r="BN589" t="s">
        <v>74</v>
      </c>
      <c r="BO589" t="s">
        <v>171</v>
      </c>
      <c r="BP589" t="s">
        <v>74</v>
      </c>
      <c r="BQ589" t="s">
        <v>74</v>
      </c>
      <c r="BR589" t="s">
        <v>91</v>
      </c>
      <c r="BS589" t="s">
        <v>8078</v>
      </c>
      <c r="BT589" t="str">
        <f>HYPERLINK("https%3A%2F%2Fwww.webofscience.com%2Fwos%2Fwoscc%2Ffull-record%2FWOS:000169174800004","View Full Record in Web of Science")</f>
        <v>View Full Record in Web of Science</v>
      </c>
    </row>
    <row r="590" spans="1:72" x14ac:dyDescent="0.15">
      <c r="A590" t="s">
        <v>72</v>
      </c>
      <c r="B590" t="s">
        <v>8079</v>
      </c>
      <c r="C590" t="s">
        <v>74</v>
      </c>
      <c r="D590" t="s">
        <v>74</v>
      </c>
      <c r="E590" t="s">
        <v>74</v>
      </c>
      <c r="F590" t="s">
        <v>8079</v>
      </c>
      <c r="G590" t="s">
        <v>74</v>
      </c>
      <c r="H590" t="s">
        <v>74</v>
      </c>
      <c r="I590" t="s">
        <v>8080</v>
      </c>
      <c r="J590" t="s">
        <v>784</v>
      </c>
      <c r="K590" t="s">
        <v>74</v>
      </c>
      <c r="L590" t="s">
        <v>74</v>
      </c>
      <c r="M590" t="s">
        <v>77</v>
      </c>
      <c r="N590" t="s">
        <v>120</v>
      </c>
      <c r="O590" t="s">
        <v>74</v>
      </c>
      <c r="P590" t="s">
        <v>74</v>
      </c>
      <c r="Q590" t="s">
        <v>74</v>
      </c>
      <c r="R590" t="s">
        <v>74</v>
      </c>
      <c r="S590" t="s">
        <v>74</v>
      </c>
      <c r="T590" t="s">
        <v>74</v>
      </c>
      <c r="U590" t="s">
        <v>8081</v>
      </c>
      <c r="V590" t="s">
        <v>8082</v>
      </c>
      <c r="W590" t="s">
        <v>8083</v>
      </c>
      <c r="X590" t="s">
        <v>8084</v>
      </c>
      <c r="Y590" t="s">
        <v>8085</v>
      </c>
      <c r="Z590" t="s">
        <v>74</v>
      </c>
      <c r="AA590" t="s">
        <v>8086</v>
      </c>
      <c r="AB590" t="s">
        <v>8087</v>
      </c>
      <c r="AC590" t="s">
        <v>74</v>
      </c>
      <c r="AD590" t="s">
        <v>74</v>
      </c>
      <c r="AE590" t="s">
        <v>74</v>
      </c>
      <c r="AF590" t="s">
        <v>74</v>
      </c>
      <c r="AG590">
        <v>44</v>
      </c>
      <c r="AH590">
        <v>38</v>
      </c>
      <c r="AI590">
        <v>50</v>
      </c>
      <c r="AJ590">
        <v>2</v>
      </c>
      <c r="AK590">
        <v>23</v>
      </c>
      <c r="AL590" t="s">
        <v>791</v>
      </c>
      <c r="AM590" t="s">
        <v>792</v>
      </c>
      <c r="AN590" t="s">
        <v>793</v>
      </c>
      <c r="AO590" t="s">
        <v>794</v>
      </c>
      <c r="AP590" t="s">
        <v>74</v>
      </c>
      <c r="AQ590" t="s">
        <v>74</v>
      </c>
      <c r="AR590" t="s">
        <v>795</v>
      </c>
      <c r="AS590" t="s">
        <v>796</v>
      </c>
      <c r="AT590" t="s">
        <v>7982</v>
      </c>
      <c r="AU590">
        <v>2001</v>
      </c>
      <c r="AV590">
        <v>33</v>
      </c>
      <c r="AW590">
        <v>2</v>
      </c>
      <c r="AX590" t="s">
        <v>74</v>
      </c>
      <c r="AY590" t="s">
        <v>74</v>
      </c>
      <c r="AZ590" t="s">
        <v>74</v>
      </c>
      <c r="BA590" t="s">
        <v>74</v>
      </c>
      <c r="BB590">
        <v>149</v>
      </c>
      <c r="BC590">
        <v>157</v>
      </c>
      <c r="BD590" t="s">
        <v>74</v>
      </c>
      <c r="BE590" t="s">
        <v>8088</v>
      </c>
      <c r="BF590" t="str">
        <f>HYPERLINK("http://dx.doi.org/10.2307/1552215","http://dx.doi.org/10.2307/1552215")</f>
        <v>http://dx.doi.org/10.2307/1552215</v>
      </c>
      <c r="BG590" t="s">
        <v>74</v>
      </c>
      <c r="BH590" t="s">
        <v>74</v>
      </c>
      <c r="BI590">
        <v>9</v>
      </c>
      <c r="BJ590" t="s">
        <v>798</v>
      </c>
      <c r="BK590" t="s">
        <v>88</v>
      </c>
      <c r="BL590" t="s">
        <v>799</v>
      </c>
      <c r="BM590" t="s">
        <v>8047</v>
      </c>
      <c r="BN590" t="s">
        <v>74</v>
      </c>
      <c r="BO590" t="s">
        <v>74</v>
      </c>
      <c r="BP590" t="s">
        <v>74</v>
      </c>
      <c r="BQ590" t="s">
        <v>74</v>
      </c>
      <c r="BR590" t="s">
        <v>91</v>
      </c>
      <c r="BS590" t="s">
        <v>8089</v>
      </c>
      <c r="BT590" t="str">
        <f>HYPERLINK("https%3A%2F%2Fwww.webofscience.com%2Fwos%2Fwoscc%2Ffull-record%2FWOS:000169174800005","View Full Record in Web of Science")</f>
        <v>View Full Record in Web of Science</v>
      </c>
    </row>
    <row r="591" spans="1:72" x14ac:dyDescent="0.15">
      <c r="A591" t="s">
        <v>72</v>
      </c>
      <c r="B591" t="s">
        <v>8090</v>
      </c>
      <c r="C591" t="s">
        <v>74</v>
      </c>
      <c r="D591" t="s">
        <v>74</v>
      </c>
      <c r="E591" t="s">
        <v>74</v>
      </c>
      <c r="F591" t="s">
        <v>8090</v>
      </c>
      <c r="G591" t="s">
        <v>74</v>
      </c>
      <c r="H591" t="s">
        <v>74</v>
      </c>
      <c r="I591" t="s">
        <v>8091</v>
      </c>
      <c r="J591" t="s">
        <v>784</v>
      </c>
      <c r="K591" t="s">
        <v>74</v>
      </c>
      <c r="L591" t="s">
        <v>74</v>
      </c>
      <c r="M591" t="s">
        <v>77</v>
      </c>
      <c r="N591" t="s">
        <v>120</v>
      </c>
      <c r="O591" t="s">
        <v>74</v>
      </c>
      <c r="P591" t="s">
        <v>74</v>
      </c>
      <c r="Q591" t="s">
        <v>74</v>
      </c>
      <c r="R591" t="s">
        <v>74</v>
      </c>
      <c r="S591" t="s">
        <v>74</v>
      </c>
      <c r="T591" t="s">
        <v>74</v>
      </c>
      <c r="U591" t="s">
        <v>8092</v>
      </c>
      <c r="V591" t="s">
        <v>8093</v>
      </c>
      <c r="W591" t="s">
        <v>8094</v>
      </c>
      <c r="X591" t="s">
        <v>74</v>
      </c>
      <c r="Y591" t="s">
        <v>8095</v>
      </c>
      <c r="Z591" t="s">
        <v>74</v>
      </c>
      <c r="AA591" t="s">
        <v>74</v>
      </c>
      <c r="AB591" t="s">
        <v>74</v>
      </c>
      <c r="AC591" t="s">
        <v>74</v>
      </c>
      <c r="AD591" t="s">
        <v>74</v>
      </c>
      <c r="AE591" t="s">
        <v>74</v>
      </c>
      <c r="AF591" t="s">
        <v>74</v>
      </c>
      <c r="AG591">
        <v>32</v>
      </c>
      <c r="AH591">
        <v>46</v>
      </c>
      <c r="AI591">
        <v>49</v>
      </c>
      <c r="AJ591">
        <v>3</v>
      </c>
      <c r="AK591">
        <v>34</v>
      </c>
      <c r="AL591" t="s">
        <v>791</v>
      </c>
      <c r="AM591" t="s">
        <v>792</v>
      </c>
      <c r="AN591" t="s">
        <v>793</v>
      </c>
      <c r="AO591" t="s">
        <v>794</v>
      </c>
      <c r="AP591" t="s">
        <v>74</v>
      </c>
      <c r="AQ591" t="s">
        <v>74</v>
      </c>
      <c r="AR591" t="s">
        <v>795</v>
      </c>
      <c r="AS591" t="s">
        <v>796</v>
      </c>
      <c r="AT591" t="s">
        <v>7982</v>
      </c>
      <c r="AU591">
        <v>2001</v>
      </c>
      <c r="AV591">
        <v>33</v>
      </c>
      <c r="AW591">
        <v>2</v>
      </c>
      <c r="AX591" t="s">
        <v>74</v>
      </c>
      <c r="AY591" t="s">
        <v>74</v>
      </c>
      <c r="AZ591" t="s">
        <v>74</v>
      </c>
      <c r="BA591" t="s">
        <v>74</v>
      </c>
      <c r="BB591">
        <v>158</v>
      </c>
      <c r="BC591">
        <v>164</v>
      </c>
      <c r="BD591" t="s">
        <v>74</v>
      </c>
      <c r="BE591" t="s">
        <v>74</v>
      </c>
      <c r="BF591" t="s">
        <v>74</v>
      </c>
      <c r="BG591" t="s">
        <v>74</v>
      </c>
      <c r="BH591" t="s">
        <v>74</v>
      </c>
      <c r="BI591">
        <v>7</v>
      </c>
      <c r="BJ591" t="s">
        <v>798</v>
      </c>
      <c r="BK591" t="s">
        <v>88</v>
      </c>
      <c r="BL591" t="s">
        <v>799</v>
      </c>
      <c r="BM591" t="s">
        <v>8047</v>
      </c>
      <c r="BN591" t="s">
        <v>74</v>
      </c>
      <c r="BO591" t="s">
        <v>74</v>
      </c>
      <c r="BP591" t="s">
        <v>74</v>
      </c>
      <c r="BQ591" t="s">
        <v>74</v>
      </c>
      <c r="BR591" t="s">
        <v>91</v>
      </c>
      <c r="BS591" t="s">
        <v>8096</v>
      </c>
      <c r="BT591" t="str">
        <f>HYPERLINK("https%3A%2F%2Fwww.webofscience.com%2Fwos%2Fwoscc%2Ffull-record%2FWOS:000169174800006","View Full Record in Web of Science")</f>
        <v>View Full Record in Web of Science</v>
      </c>
    </row>
    <row r="592" spans="1:72" x14ac:dyDescent="0.15">
      <c r="A592" t="s">
        <v>72</v>
      </c>
      <c r="B592" t="s">
        <v>8097</v>
      </c>
      <c r="C592" t="s">
        <v>74</v>
      </c>
      <c r="D592" t="s">
        <v>74</v>
      </c>
      <c r="E592" t="s">
        <v>74</v>
      </c>
      <c r="F592" t="s">
        <v>8097</v>
      </c>
      <c r="G592" t="s">
        <v>74</v>
      </c>
      <c r="H592" t="s">
        <v>74</v>
      </c>
      <c r="I592" t="s">
        <v>8098</v>
      </c>
      <c r="J592" t="s">
        <v>784</v>
      </c>
      <c r="K592" t="s">
        <v>74</v>
      </c>
      <c r="L592" t="s">
        <v>74</v>
      </c>
      <c r="M592" t="s">
        <v>77</v>
      </c>
      <c r="N592" t="s">
        <v>120</v>
      </c>
      <c r="O592" t="s">
        <v>74</v>
      </c>
      <c r="P592" t="s">
        <v>74</v>
      </c>
      <c r="Q592" t="s">
        <v>74</v>
      </c>
      <c r="R592" t="s">
        <v>74</v>
      </c>
      <c r="S592" t="s">
        <v>74</v>
      </c>
      <c r="T592" t="s">
        <v>74</v>
      </c>
      <c r="U592" t="s">
        <v>8099</v>
      </c>
      <c r="V592" t="s">
        <v>8100</v>
      </c>
      <c r="W592" t="s">
        <v>8101</v>
      </c>
      <c r="X592" t="s">
        <v>8102</v>
      </c>
      <c r="Y592" t="s">
        <v>8103</v>
      </c>
      <c r="Z592" t="s">
        <v>8104</v>
      </c>
      <c r="AA592" t="s">
        <v>74</v>
      </c>
      <c r="AB592" t="s">
        <v>8105</v>
      </c>
      <c r="AC592" t="s">
        <v>74</v>
      </c>
      <c r="AD592" t="s">
        <v>74</v>
      </c>
      <c r="AE592" t="s">
        <v>74</v>
      </c>
      <c r="AF592" t="s">
        <v>74</v>
      </c>
      <c r="AG592">
        <v>38</v>
      </c>
      <c r="AH592">
        <v>20</v>
      </c>
      <c r="AI592">
        <v>24</v>
      </c>
      <c r="AJ592">
        <v>1</v>
      </c>
      <c r="AK592">
        <v>8</v>
      </c>
      <c r="AL592" t="s">
        <v>791</v>
      </c>
      <c r="AM592" t="s">
        <v>792</v>
      </c>
      <c r="AN592" t="s">
        <v>793</v>
      </c>
      <c r="AO592" t="s">
        <v>794</v>
      </c>
      <c r="AP592" t="s">
        <v>74</v>
      </c>
      <c r="AQ592" t="s">
        <v>74</v>
      </c>
      <c r="AR592" t="s">
        <v>795</v>
      </c>
      <c r="AS592" t="s">
        <v>796</v>
      </c>
      <c r="AT592" t="s">
        <v>7982</v>
      </c>
      <c r="AU592">
        <v>2001</v>
      </c>
      <c r="AV592">
        <v>33</v>
      </c>
      <c r="AW592">
        <v>2</v>
      </c>
      <c r="AX592" t="s">
        <v>74</v>
      </c>
      <c r="AY592" t="s">
        <v>74</v>
      </c>
      <c r="AZ592" t="s">
        <v>74</v>
      </c>
      <c r="BA592" t="s">
        <v>74</v>
      </c>
      <c r="BB592">
        <v>165</v>
      </c>
      <c r="BC592">
        <v>172</v>
      </c>
      <c r="BD592" t="s">
        <v>74</v>
      </c>
      <c r="BE592" t="s">
        <v>8106</v>
      </c>
      <c r="BF592" t="str">
        <f>HYPERLINK("http://dx.doi.org/10.2307/1552217","http://dx.doi.org/10.2307/1552217")</f>
        <v>http://dx.doi.org/10.2307/1552217</v>
      </c>
      <c r="BG592" t="s">
        <v>74</v>
      </c>
      <c r="BH592" t="s">
        <v>74</v>
      </c>
      <c r="BI592">
        <v>8</v>
      </c>
      <c r="BJ592" t="s">
        <v>798</v>
      </c>
      <c r="BK592" t="s">
        <v>88</v>
      </c>
      <c r="BL592" t="s">
        <v>799</v>
      </c>
      <c r="BM592" t="s">
        <v>8047</v>
      </c>
      <c r="BN592" t="s">
        <v>74</v>
      </c>
      <c r="BO592" t="s">
        <v>171</v>
      </c>
      <c r="BP592" t="s">
        <v>74</v>
      </c>
      <c r="BQ592" t="s">
        <v>74</v>
      </c>
      <c r="BR592" t="s">
        <v>91</v>
      </c>
      <c r="BS592" t="s">
        <v>8107</v>
      </c>
      <c r="BT592" t="str">
        <f>HYPERLINK("https%3A%2F%2Fwww.webofscience.com%2Fwos%2Fwoscc%2Ffull-record%2FWOS:000169174800007","View Full Record in Web of Science")</f>
        <v>View Full Record in Web of Science</v>
      </c>
    </row>
    <row r="593" spans="1:72" x14ac:dyDescent="0.15">
      <c r="A593" t="s">
        <v>72</v>
      </c>
      <c r="B593" t="s">
        <v>8108</v>
      </c>
      <c r="C593" t="s">
        <v>74</v>
      </c>
      <c r="D593" t="s">
        <v>74</v>
      </c>
      <c r="E593" t="s">
        <v>74</v>
      </c>
      <c r="F593" t="s">
        <v>8108</v>
      </c>
      <c r="G593" t="s">
        <v>74</v>
      </c>
      <c r="H593" t="s">
        <v>74</v>
      </c>
      <c r="I593" t="s">
        <v>8109</v>
      </c>
      <c r="J593" t="s">
        <v>784</v>
      </c>
      <c r="K593" t="s">
        <v>74</v>
      </c>
      <c r="L593" t="s">
        <v>74</v>
      </c>
      <c r="M593" t="s">
        <v>77</v>
      </c>
      <c r="N593" t="s">
        <v>120</v>
      </c>
      <c r="O593" t="s">
        <v>74</v>
      </c>
      <c r="P593" t="s">
        <v>74</v>
      </c>
      <c r="Q593" t="s">
        <v>74</v>
      </c>
      <c r="R593" t="s">
        <v>74</v>
      </c>
      <c r="S593" t="s">
        <v>74</v>
      </c>
      <c r="T593" t="s">
        <v>74</v>
      </c>
      <c r="U593" t="s">
        <v>8110</v>
      </c>
      <c r="V593" t="s">
        <v>8111</v>
      </c>
      <c r="W593" t="s">
        <v>8112</v>
      </c>
      <c r="X593" t="s">
        <v>936</v>
      </c>
      <c r="Y593" t="s">
        <v>8113</v>
      </c>
      <c r="Z593" t="s">
        <v>8114</v>
      </c>
      <c r="AA593" t="s">
        <v>74</v>
      </c>
      <c r="AB593" t="s">
        <v>74</v>
      </c>
      <c r="AC593" t="s">
        <v>74</v>
      </c>
      <c r="AD593" t="s">
        <v>74</v>
      </c>
      <c r="AE593" t="s">
        <v>74</v>
      </c>
      <c r="AF593" t="s">
        <v>74</v>
      </c>
      <c r="AG593">
        <v>26</v>
      </c>
      <c r="AH593">
        <v>10</v>
      </c>
      <c r="AI593">
        <v>12</v>
      </c>
      <c r="AJ593">
        <v>0</v>
      </c>
      <c r="AK593">
        <v>9</v>
      </c>
      <c r="AL593" t="s">
        <v>791</v>
      </c>
      <c r="AM593" t="s">
        <v>792</v>
      </c>
      <c r="AN593" t="s">
        <v>793</v>
      </c>
      <c r="AO593" t="s">
        <v>794</v>
      </c>
      <c r="AP593" t="s">
        <v>74</v>
      </c>
      <c r="AQ593" t="s">
        <v>74</v>
      </c>
      <c r="AR593" t="s">
        <v>795</v>
      </c>
      <c r="AS593" t="s">
        <v>796</v>
      </c>
      <c r="AT593" t="s">
        <v>7982</v>
      </c>
      <c r="AU593">
        <v>2001</v>
      </c>
      <c r="AV593">
        <v>33</v>
      </c>
      <c r="AW593">
        <v>2</v>
      </c>
      <c r="AX593" t="s">
        <v>74</v>
      </c>
      <c r="AY593" t="s">
        <v>74</v>
      </c>
      <c r="AZ593" t="s">
        <v>74</v>
      </c>
      <c r="BA593" t="s">
        <v>74</v>
      </c>
      <c r="BB593">
        <v>173</v>
      </c>
      <c r="BC593">
        <v>180</v>
      </c>
      <c r="BD593" t="s">
        <v>74</v>
      </c>
      <c r="BE593" t="s">
        <v>8115</v>
      </c>
      <c r="BF593" t="str">
        <f>HYPERLINK("http://dx.doi.org/10.2307/1552218","http://dx.doi.org/10.2307/1552218")</f>
        <v>http://dx.doi.org/10.2307/1552218</v>
      </c>
      <c r="BG593" t="s">
        <v>74</v>
      </c>
      <c r="BH593" t="s">
        <v>74</v>
      </c>
      <c r="BI593">
        <v>8</v>
      </c>
      <c r="BJ593" t="s">
        <v>798</v>
      </c>
      <c r="BK593" t="s">
        <v>88</v>
      </c>
      <c r="BL593" t="s">
        <v>799</v>
      </c>
      <c r="BM593" t="s">
        <v>8047</v>
      </c>
      <c r="BN593" t="s">
        <v>74</v>
      </c>
      <c r="BO593" t="s">
        <v>74</v>
      </c>
      <c r="BP593" t="s">
        <v>74</v>
      </c>
      <c r="BQ593" t="s">
        <v>74</v>
      </c>
      <c r="BR593" t="s">
        <v>91</v>
      </c>
      <c r="BS593" t="s">
        <v>8116</v>
      </c>
      <c r="BT593" t="str">
        <f>HYPERLINK("https%3A%2F%2Fwww.webofscience.com%2Fwos%2Fwoscc%2Ffull-record%2FWOS:000169174800008","View Full Record in Web of Science")</f>
        <v>View Full Record in Web of Science</v>
      </c>
    </row>
    <row r="594" spans="1:72" x14ac:dyDescent="0.15">
      <c r="A594" t="s">
        <v>72</v>
      </c>
      <c r="B594" t="s">
        <v>8117</v>
      </c>
      <c r="C594" t="s">
        <v>74</v>
      </c>
      <c r="D594" t="s">
        <v>74</v>
      </c>
      <c r="E594" t="s">
        <v>74</v>
      </c>
      <c r="F594" t="s">
        <v>8117</v>
      </c>
      <c r="G594" t="s">
        <v>74</v>
      </c>
      <c r="H594" t="s">
        <v>74</v>
      </c>
      <c r="I594" t="s">
        <v>8118</v>
      </c>
      <c r="J594" t="s">
        <v>784</v>
      </c>
      <c r="K594" t="s">
        <v>74</v>
      </c>
      <c r="L594" t="s">
        <v>74</v>
      </c>
      <c r="M594" t="s">
        <v>77</v>
      </c>
      <c r="N594" t="s">
        <v>120</v>
      </c>
      <c r="O594" t="s">
        <v>74</v>
      </c>
      <c r="P594" t="s">
        <v>74</v>
      </c>
      <c r="Q594" t="s">
        <v>74</v>
      </c>
      <c r="R594" t="s">
        <v>74</v>
      </c>
      <c r="S594" t="s">
        <v>74</v>
      </c>
      <c r="T594" t="s">
        <v>74</v>
      </c>
      <c r="U594" t="s">
        <v>8119</v>
      </c>
      <c r="V594" t="s">
        <v>8120</v>
      </c>
      <c r="W594" t="s">
        <v>8121</v>
      </c>
      <c r="X594" t="s">
        <v>8122</v>
      </c>
      <c r="Y594" t="s">
        <v>2368</v>
      </c>
      <c r="Z594" t="s">
        <v>8123</v>
      </c>
      <c r="AA594" t="s">
        <v>8124</v>
      </c>
      <c r="AB594" t="s">
        <v>8125</v>
      </c>
      <c r="AC594" t="s">
        <v>74</v>
      </c>
      <c r="AD594" t="s">
        <v>74</v>
      </c>
      <c r="AE594" t="s">
        <v>74</v>
      </c>
      <c r="AF594" t="s">
        <v>74</v>
      </c>
      <c r="AG594">
        <v>43</v>
      </c>
      <c r="AH594">
        <v>27</v>
      </c>
      <c r="AI594">
        <v>28</v>
      </c>
      <c r="AJ594">
        <v>0</v>
      </c>
      <c r="AK594">
        <v>69</v>
      </c>
      <c r="AL594" t="s">
        <v>791</v>
      </c>
      <c r="AM594" t="s">
        <v>792</v>
      </c>
      <c r="AN594" t="s">
        <v>793</v>
      </c>
      <c r="AO594" t="s">
        <v>794</v>
      </c>
      <c r="AP594" t="s">
        <v>814</v>
      </c>
      <c r="AQ594" t="s">
        <v>74</v>
      </c>
      <c r="AR594" t="s">
        <v>795</v>
      </c>
      <c r="AS594" t="s">
        <v>796</v>
      </c>
      <c r="AT594" t="s">
        <v>7982</v>
      </c>
      <c r="AU594">
        <v>2001</v>
      </c>
      <c r="AV594">
        <v>33</v>
      </c>
      <c r="AW594">
        <v>2</v>
      </c>
      <c r="AX594" t="s">
        <v>74</v>
      </c>
      <c r="AY594" t="s">
        <v>74</v>
      </c>
      <c r="AZ594" t="s">
        <v>74</v>
      </c>
      <c r="BA594" t="s">
        <v>74</v>
      </c>
      <c r="BB594">
        <v>181</v>
      </c>
      <c r="BC594">
        <v>190</v>
      </c>
      <c r="BD594" t="s">
        <v>74</v>
      </c>
      <c r="BE594" t="s">
        <v>8126</v>
      </c>
      <c r="BF594" t="str">
        <f>HYPERLINK("http://dx.doi.org/10.2307/1552219","http://dx.doi.org/10.2307/1552219")</f>
        <v>http://dx.doi.org/10.2307/1552219</v>
      </c>
      <c r="BG594" t="s">
        <v>74</v>
      </c>
      <c r="BH594" t="s">
        <v>74</v>
      </c>
      <c r="BI594">
        <v>10</v>
      </c>
      <c r="BJ594" t="s">
        <v>798</v>
      </c>
      <c r="BK594" t="s">
        <v>88</v>
      </c>
      <c r="BL594" t="s">
        <v>799</v>
      </c>
      <c r="BM594" t="s">
        <v>8047</v>
      </c>
      <c r="BN594" t="s">
        <v>74</v>
      </c>
      <c r="BO594" t="s">
        <v>171</v>
      </c>
      <c r="BP594" t="s">
        <v>74</v>
      </c>
      <c r="BQ594" t="s">
        <v>74</v>
      </c>
      <c r="BR594" t="s">
        <v>91</v>
      </c>
      <c r="BS594" t="s">
        <v>8127</v>
      </c>
      <c r="BT594" t="str">
        <f>HYPERLINK("https%3A%2F%2Fwww.webofscience.com%2Fwos%2Fwoscc%2Ffull-record%2FWOS:000169174800009","View Full Record in Web of Science")</f>
        <v>View Full Record in Web of Science</v>
      </c>
    </row>
    <row r="595" spans="1:72" x14ac:dyDescent="0.15">
      <c r="A595" t="s">
        <v>72</v>
      </c>
      <c r="B595" t="s">
        <v>8128</v>
      </c>
      <c r="C595" t="s">
        <v>74</v>
      </c>
      <c r="D595" t="s">
        <v>74</v>
      </c>
      <c r="E595" t="s">
        <v>74</v>
      </c>
      <c r="F595" t="s">
        <v>8128</v>
      </c>
      <c r="G595" t="s">
        <v>74</v>
      </c>
      <c r="H595" t="s">
        <v>74</v>
      </c>
      <c r="I595" t="s">
        <v>8129</v>
      </c>
      <c r="J595" t="s">
        <v>784</v>
      </c>
      <c r="K595" t="s">
        <v>74</v>
      </c>
      <c r="L595" t="s">
        <v>74</v>
      </c>
      <c r="M595" t="s">
        <v>77</v>
      </c>
      <c r="N595" t="s">
        <v>120</v>
      </c>
      <c r="O595" t="s">
        <v>74</v>
      </c>
      <c r="P595" t="s">
        <v>74</v>
      </c>
      <c r="Q595" t="s">
        <v>74</v>
      </c>
      <c r="R595" t="s">
        <v>74</v>
      </c>
      <c r="S595" t="s">
        <v>74</v>
      </c>
      <c r="T595" t="s">
        <v>74</v>
      </c>
      <c r="U595" t="s">
        <v>8130</v>
      </c>
      <c r="V595" t="s">
        <v>8131</v>
      </c>
      <c r="W595" t="s">
        <v>8132</v>
      </c>
      <c r="X595" t="s">
        <v>8133</v>
      </c>
      <c r="Y595" t="s">
        <v>8134</v>
      </c>
      <c r="Z595" t="s">
        <v>8135</v>
      </c>
      <c r="AA595" t="s">
        <v>74</v>
      </c>
      <c r="AB595" t="s">
        <v>8136</v>
      </c>
      <c r="AC595" t="s">
        <v>74</v>
      </c>
      <c r="AD595" t="s">
        <v>74</v>
      </c>
      <c r="AE595" t="s">
        <v>74</v>
      </c>
      <c r="AF595" t="s">
        <v>74</v>
      </c>
      <c r="AG595">
        <v>53</v>
      </c>
      <c r="AH595">
        <v>49</v>
      </c>
      <c r="AI595">
        <v>51</v>
      </c>
      <c r="AJ595">
        <v>1</v>
      </c>
      <c r="AK595">
        <v>7</v>
      </c>
      <c r="AL595" t="s">
        <v>791</v>
      </c>
      <c r="AM595" t="s">
        <v>792</v>
      </c>
      <c r="AN595" t="s">
        <v>793</v>
      </c>
      <c r="AO595" t="s">
        <v>794</v>
      </c>
      <c r="AP595" t="s">
        <v>74</v>
      </c>
      <c r="AQ595" t="s">
        <v>74</v>
      </c>
      <c r="AR595" t="s">
        <v>795</v>
      </c>
      <c r="AS595" t="s">
        <v>796</v>
      </c>
      <c r="AT595" t="s">
        <v>7982</v>
      </c>
      <c r="AU595">
        <v>2001</v>
      </c>
      <c r="AV595">
        <v>33</v>
      </c>
      <c r="AW595">
        <v>2</v>
      </c>
      <c r="AX595" t="s">
        <v>74</v>
      </c>
      <c r="AY595" t="s">
        <v>74</v>
      </c>
      <c r="AZ595" t="s">
        <v>74</v>
      </c>
      <c r="BA595" t="s">
        <v>74</v>
      </c>
      <c r="BB595">
        <v>191</v>
      </c>
      <c r="BC595">
        <v>203</v>
      </c>
      <c r="BD595" t="s">
        <v>74</v>
      </c>
      <c r="BE595" t="s">
        <v>8137</v>
      </c>
      <c r="BF595" t="str">
        <f>HYPERLINK("http://dx.doi.org/10.2307/1552220","http://dx.doi.org/10.2307/1552220")</f>
        <v>http://dx.doi.org/10.2307/1552220</v>
      </c>
      <c r="BG595" t="s">
        <v>74</v>
      </c>
      <c r="BH595" t="s">
        <v>74</v>
      </c>
      <c r="BI595">
        <v>13</v>
      </c>
      <c r="BJ595" t="s">
        <v>798</v>
      </c>
      <c r="BK595" t="s">
        <v>88</v>
      </c>
      <c r="BL595" t="s">
        <v>799</v>
      </c>
      <c r="BM595" t="s">
        <v>8047</v>
      </c>
      <c r="BN595" t="s">
        <v>74</v>
      </c>
      <c r="BO595" t="s">
        <v>74</v>
      </c>
      <c r="BP595" t="s">
        <v>74</v>
      </c>
      <c r="BQ595" t="s">
        <v>74</v>
      </c>
      <c r="BR595" t="s">
        <v>91</v>
      </c>
      <c r="BS595" t="s">
        <v>8138</v>
      </c>
      <c r="BT595" t="str">
        <f>HYPERLINK("https%3A%2F%2Fwww.webofscience.com%2Fwos%2Fwoscc%2Ffull-record%2FWOS:000169174800010","View Full Record in Web of Science")</f>
        <v>View Full Record in Web of Science</v>
      </c>
    </row>
    <row r="596" spans="1:72" x14ac:dyDescent="0.15">
      <c r="A596" t="s">
        <v>72</v>
      </c>
      <c r="B596" t="s">
        <v>8139</v>
      </c>
      <c r="C596" t="s">
        <v>74</v>
      </c>
      <c r="D596" t="s">
        <v>74</v>
      </c>
      <c r="E596" t="s">
        <v>74</v>
      </c>
      <c r="F596" t="s">
        <v>8139</v>
      </c>
      <c r="G596" t="s">
        <v>74</v>
      </c>
      <c r="H596" t="s">
        <v>74</v>
      </c>
      <c r="I596" t="s">
        <v>8140</v>
      </c>
      <c r="J596" t="s">
        <v>784</v>
      </c>
      <c r="K596" t="s">
        <v>74</v>
      </c>
      <c r="L596" t="s">
        <v>74</v>
      </c>
      <c r="M596" t="s">
        <v>77</v>
      </c>
      <c r="N596" t="s">
        <v>120</v>
      </c>
      <c r="O596" t="s">
        <v>74</v>
      </c>
      <c r="P596" t="s">
        <v>74</v>
      </c>
      <c r="Q596" t="s">
        <v>74</v>
      </c>
      <c r="R596" t="s">
        <v>74</v>
      </c>
      <c r="S596" t="s">
        <v>74</v>
      </c>
      <c r="T596" t="s">
        <v>74</v>
      </c>
      <c r="U596" t="s">
        <v>8141</v>
      </c>
      <c r="V596" t="s">
        <v>8142</v>
      </c>
      <c r="W596" t="s">
        <v>8143</v>
      </c>
      <c r="X596" t="s">
        <v>8144</v>
      </c>
      <c r="Y596" t="s">
        <v>8145</v>
      </c>
      <c r="Z596" t="s">
        <v>8146</v>
      </c>
      <c r="AA596" t="s">
        <v>74</v>
      </c>
      <c r="AB596" t="s">
        <v>74</v>
      </c>
      <c r="AC596" t="s">
        <v>74</v>
      </c>
      <c r="AD596" t="s">
        <v>74</v>
      </c>
      <c r="AE596" t="s">
        <v>74</v>
      </c>
      <c r="AF596" t="s">
        <v>74</v>
      </c>
      <c r="AG596">
        <v>40</v>
      </c>
      <c r="AH596">
        <v>16</v>
      </c>
      <c r="AI596">
        <v>17</v>
      </c>
      <c r="AJ596">
        <v>0</v>
      </c>
      <c r="AK596">
        <v>10</v>
      </c>
      <c r="AL596" t="s">
        <v>791</v>
      </c>
      <c r="AM596" t="s">
        <v>792</v>
      </c>
      <c r="AN596" t="s">
        <v>793</v>
      </c>
      <c r="AO596" t="s">
        <v>794</v>
      </c>
      <c r="AP596" t="s">
        <v>74</v>
      </c>
      <c r="AQ596" t="s">
        <v>74</v>
      </c>
      <c r="AR596" t="s">
        <v>795</v>
      </c>
      <c r="AS596" t="s">
        <v>796</v>
      </c>
      <c r="AT596" t="s">
        <v>7982</v>
      </c>
      <c r="AU596">
        <v>2001</v>
      </c>
      <c r="AV596">
        <v>33</v>
      </c>
      <c r="AW596">
        <v>2</v>
      </c>
      <c r="AX596" t="s">
        <v>74</v>
      </c>
      <c r="AY596" t="s">
        <v>74</v>
      </c>
      <c r="AZ596" t="s">
        <v>74</v>
      </c>
      <c r="BA596" t="s">
        <v>74</v>
      </c>
      <c r="BB596">
        <v>204</v>
      </c>
      <c r="BC596">
        <v>210</v>
      </c>
      <c r="BD596" t="s">
        <v>74</v>
      </c>
      <c r="BE596" t="s">
        <v>8147</v>
      </c>
      <c r="BF596" t="str">
        <f>HYPERLINK("http://dx.doi.org/10.2307/1552221","http://dx.doi.org/10.2307/1552221")</f>
        <v>http://dx.doi.org/10.2307/1552221</v>
      </c>
      <c r="BG596" t="s">
        <v>74</v>
      </c>
      <c r="BH596" t="s">
        <v>74</v>
      </c>
      <c r="BI596">
        <v>7</v>
      </c>
      <c r="BJ596" t="s">
        <v>798</v>
      </c>
      <c r="BK596" t="s">
        <v>88</v>
      </c>
      <c r="BL596" t="s">
        <v>799</v>
      </c>
      <c r="BM596" t="s">
        <v>8047</v>
      </c>
      <c r="BN596" t="s">
        <v>74</v>
      </c>
      <c r="BO596" t="s">
        <v>171</v>
      </c>
      <c r="BP596" t="s">
        <v>74</v>
      </c>
      <c r="BQ596" t="s">
        <v>74</v>
      </c>
      <c r="BR596" t="s">
        <v>91</v>
      </c>
      <c r="BS596" t="s">
        <v>8148</v>
      </c>
      <c r="BT596" t="str">
        <f>HYPERLINK("https%3A%2F%2Fwww.webofscience.com%2Fwos%2Fwoscc%2Ffull-record%2FWOS:000169174800011","View Full Record in Web of Science")</f>
        <v>View Full Record in Web of Science</v>
      </c>
    </row>
    <row r="597" spans="1:72" x14ac:dyDescent="0.15">
      <c r="A597" t="s">
        <v>72</v>
      </c>
      <c r="B597" t="s">
        <v>8149</v>
      </c>
      <c r="C597" t="s">
        <v>74</v>
      </c>
      <c r="D597" t="s">
        <v>74</v>
      </c>
      <c r="E597" t="s">
        <v>74</v>
      </c>
      <c r="F597" t="s">
        <v>8149</v>
      </c>
      <c r="G597" t="s">
        <v>74</v>
      </c>
      <c r="H597" t="s">
        <v>74</v>
      </c>
      <c r="I597" t="s">
        <v>8150</v>
      </c>
      <c r="J597" t="s">
        <v>784</v>
      </c>
      <c r="K597" t="s">
        <v>74</v>
      </c>
      <c r="L597" t="s">
        <v>74</v>
      </c>
      <c r="M597" t="s">
        <v>77</v>
      </c>
      <c r="N597" t="s">
        <v>120</v>
      </c>
      <c r="O597" t="s">
        <v>74</v>
      </c>
      <c r="P597" t="s">
        <v>74</v>
      </c>
      <c r="Q597" t="s">
        <v>74</v>
      </c>
      <c r="R597" t="s">
        <v>74</v>
      </c>
      <c r="S597" t="s">
        <v>74</v>
      </c>
      <c r="T597" t="s">
        <v>74</v>
      </c>
      <c r="U597" t="s">
        <v>8151</v>
      </c>
      <c r="V597" t="s">
        <v>8152</v>
      </c>
      <c r="W597" t="s">
        <v>8153</v>
      </c>
      <c r="X597" t="s">
        <v>8154</v>
      </c>
      <c r="Y597" t="s">
        <v>8155</v>
      </c>
      <c r="Z597" t="s">
        <v>74</v>
      </c>
      <c r="AA597" t="s">
        <v>8156</v>
      </c>
      <c r="AB597" t="s">
        <v>1726</v>
      </c>
      <c r="AC597" t="s">
        <v>74</v>
      </c>
      <c r="AD597" t="s">
        <v>74</v>
      </c>
      <c r="AE597" t="s">
        <v>74</v>
      </c>
      <c r="AF597" t="s">
        <v>74</v>
      </c>
      <c r="AG597">
        <v>56</v>
      </c>
      <c r="AH597">
        <v>17</v>
      </c>
      <c r="AI597">
        <v>17</v>
      </c>
      <c r="AJ597">
        <v>0</v>
      </c>
      <c r="AK597">
        <v>13</v>
      </c>
      <c r="AL597" t="s">
        <v>791</v>
      </c>
      <c r="AM597" t="s">
        <v>792</v>
      </c>
      <c r="AN597" t="s">
        <v>793</v>
      </c>
      <c r="AO597" t="s">
        <v>794</v>
      </c>
      <c r="AP597" t="s">
        <v>74</v>
      </c>
      <c r="AQ597" t="s">
        <v>74</v>
      </c>
      <c r="AR597" t="s">
        <v>795</v>
      </c>
      <c r="AS597" t="s">
        <v>796</v>
      </c>
      <c r="AT597" t="s">
        <v>7982</v>
      </c>
      <c r="AU597">
        <v>2001</v>
      </c>
      <c r="AV597">
        <v>33</v>
      </c>
      <c r="AW597">
        <v>2</v>
      </c>
      <c r="AX597" t="s">
        <v>74</v>
      </c>
      <c r="AY597" t="s">
        <v>74</v>
      </c>
      <c r="AZ597" t="s">
        <v>74</v>
      </c>
      <c r="BA597" t="s">
        <v>74</v>
      </c>
      <c r="BB597">
        <v>211</v>
      </c>
      <c r="BC597">
        <v>222</v>
      </c>
      <c r="BD597" t="s">
        <v>74</v>
      </c>
      <c r="BE597" t="s">
        <v>8157</v>
      </c>
      <c r="BF597" t="str">
        <f>HYPERLINK("http://dx.doi.org/10.2307/1552222","http://dx.doi.org/10.2307/1552222")</f>
        <v>http://dx.doi.org/10.2307/1552222</v>
      </c>
      <c r="BG597" t="s">
        <v>74</v>
      </c>
      <c r="BH597" t="s">
        <v>74</v>
      </c>
      <c r="BI597">
        <v>12</v>
      </c>
      <c r="BJ597" t="s">
        <v>798</v>
      </c>
      <c r="BK597" t="s">
        <v>88</v>
      </c>
      <c r="BL597" t="s">
        <v>799</v>
      </c>
      <c r="BM597" t="s">
        <v>8047</v>
      </c>
      <c r="BN597" t="s">
        <v>74</v>
      </c>
      <c r="BO597" t="s">
        <v>171</v>
      </c>
      <c r="BP597" t="s">
        <v>74</v>
      </c>
      <c r="BQ597" t="s">
        <v>74</v>
      </c>
      <c r="BR597" t="s">
        <v>91</v>
      </c>
      <c r="BS597" t="s">
        <v>8158</v>
      </c>
      <c r="BT597" t="str">
        <f>HYPERLINK("https%3A%2F%2Fwww.webofscience.com%2Fwos%2Fwoscc%2Ffull-record%2FWOS:000169174800012","View Full Record in Web of Science")</f>
        <v>View Full Record in Web of Science</v>
      </c>
    </row>
    <row r="598" spans="1:72" x14ac:dyDescent="0.15">
      <c r="A598" t="s">
        <v>72</v>
      </c>
      <c r="B598" t="s">
        <v>8159</v>
      </c>
      <c r="C598" t="s">
        <v>74</v>
      </c>
      <c r="D598" t="s">
        <v>74</v>
      </c>
      <c r="E598" t="s">
        <v>74</v>
      </c>
      <c r="F598" t="s">
        <v>8159</v>
      </c>
      <c r="G598" t="s">
        <v>74</v>
      </c>
      <c r="H598" t="s">
        <v>74</v>
      </c>
      <c r="I598" t="s">
        <v>8160</v>
      </c>
      <c r="J598" t="s">
        <v>784</v>
      </c>
      <c r="K598" t="s">
        <v>74</v>
      </c>
      <c r="L598" t="s">
        <v>74</v>
      </c>
      <c r="M598" t="s">
        <v>77</v>
      </c>
      <c r="N598" t="s">
        <v>120</v>
      </c>
      <c r="O598" t="s">
        <v>74</v>
      </c>
      <c r="P598" t="s">
        <v>74</v>
      </c>
      <c r="Q598" t="s">
        <v>74</v>
      </c>
      <c r="R598" t="s">
        <v>74</v>
      </c>
      <c r="S598" t="s">
        <v>74</v>
      </c>
      <c r="T598" t="s">
        <v>74</v>
      </c>
      <c r="U598" t="s">
        <v>8161</v>
      </c>
      <c r="V598" t="s">
        <v>8162</v>
      </c>
      <c r="W598" t="s">
        <v>8163</v>
      </c>
      <c r="X598" t="s">
        <v>8164</v>
      </c>
      <c r="Y598" t="s">
        <v>8165</v>
      </c>
      <c r="Z598" t="s">
        <v>74</v>
      </c>
      <c r="AA598" t="s">
        <v>8166</v>
      </c>
      <c r="AB598" t="s">
        <v>8167</v>
      </c>
      <c r="AC598" t="s">
        <v>74</v>
      </c>
      <c r="AD598" t="s">
        <v>74</v>
      </c>
      <c r="AE598" t="s">
        <v>74</v>
      </c>
      <c r="AF598" t="s">
        <v>74</v>
      </c>
      <c r="AG598">
        <v>57</v>
      </c>
      <c r="AH598">
        <v>25</v>
      </c>
      <c r="AI598">
        <v>30</v>
      </c>
      <c r="AJ598">
        <v>0</v>
      </c>
      <c r="AK598">
        <v>10</v>
      </c>
      <c r="AL598" t="s">
        <v>791</v>
      </c>
      <c r="AM598" t="s">
        <v>792</v>
      </c>
      <c r="AN598" t="s">
        <v>793</v>
      </c>
      <c r="AO598" t="s">
        <v>794</v>
      </c>
      <c r="AP598" t="s">
        <v>74</v>
      </c>
      <c r="AQ598" t="s">
        <v>74</v>
      </c>
      <c r="AR598" t="s">
        <v>795</v>
      </c>
      <c r="AS598" t="s">
        <v>796</v>
      </c>
      <c r="AT598" t="s">
        <v>7982</v>
      </c>
      <c r="AU598">
        <v>2001</v>
      </c>
      <c r="AV598">
        <v>33</v>
      </c>
      <c r="AW598">
        <v>2</v>
      </c>
      <c r="AX598" t="s">
        <v>74</v>
      </c>
      <c r="AY598" t="s">
        <v>74</v>
      </c>
      <c r="AZ598" t="s">
        <v>74</v>
      </c>
      <c r="BA598" t="s">
        <v>74</v>
      </c>
      <c r="BB598">
        <v>223</v>
      </c>
      <c r="BC598">
        <v>230</v>
      </c>
      <c r="BD598" t="s">
        <v>74</v>
      </c>
      <c r="BE598" t="s">
        <v>8168</v>
      </c>
      <c r="BF598" t="str">
        <f>HYPERLINK("http://dx.doi.org/10.2307/1552223","http://dx.doi.org/10.2307/1552223")</f>
        <v>http://dx.doi.org/10.2307/1552223</v>
      </c>
      <c r="BG598" t="s">
        <v>74</v>
      </c>
      <c r="BH598" t="s">
        <v>74</v>
      </c>
      <c r="BI598">
        <v>8</v>
      </c>
      <c r="BJ598" t="s">
        <v>798</v>
      </c>
      <c r="BK598" t="s">
        <v>88</v>
      </c>
      <c r="BL598" t="s">
        <v>799</v>
      </c>
      <c r="BM598" t="s">
        <v>8047</v>
      </c>
      <c r="BN598" t="s">
        <v>74</v>
      </c>
      <c r="BO598" t="s">
        <v>171</v>
      </c>
      <c r="BP598" t="s">
        <v>74</v>
      </c>
      <c r="BQ598" t="s">
        <v>74</v>
      </c>
      <c r="BR598" t="s">
        <v>91</v>
      </c>
      <c r="BS598" t="s">
        <v>8169</v>
      </c>
      <c r="BT598" t="str">
        <f>HYPERLINK("https%3A%2F%2Fwww.webofscience.com%2Fwos%2Fwoscc%2Ffull-record%2FWOS:000169174800013","View Full Record in Web of Science")</f>
        <v>View Full Record in Web of Science</v>
      </c>
    </row>
    <row r="599" spans="1:72" x14ac:dyDescent="0.15">
      <c r="A599" t="s">
        <v>72</v>
      </c>
      <c r="B599" t="s">
        <v>8170</v>
      </c>
      <c r="C599" t="s">
        <v>74</v>
      </c>
      <c r="D599" t="s">
        <v>74</v>
      </c>
      <c r="E599" t="s">
        <v>74</v>
      </c>
      <c r="F599" t="s">
        <v>8170</v>
      </c>
      <c r="G599" t="s">
        <v>74</v>
      </c>
      <c r="H599" t="s">
        <v>74</v>
      </c>
      <c r="I599" t="s">
        <v>8171</v>
      </c>
      <c r="J599" t="s">
        <v>784</v>
      </c>
      <c r="K599" t="s">
        <v>74</v>
      </c>
      <c r="L599" t="s">
        <v>74</v>
      </c>
      <c r="M599" t="s">
        <v>77</v>
      </c>
      <c r="N599" t="s">
        <v>120</v>
      </c>
      <c r="O599" t="s">
        <v>74</v>
      </c>
      <c r="P599" t="s">
        <v>74</v>
      </c>
      <c r="Q599" t="s">
        <v>74</v>
      </c>
      <c r="R599" t="s">
        <v>74</v>
      </c>
      <c r="S599" t="s">
        <v>74</v>
      </c>
      <c r="T599" t="s">
        <v>74</v>
      </c>
      <c r="U599" t="s">
        <v>8172</v>
      </c>
      <c r="V599" t="s">
        <v>8173</v>
      </c>
      <c r="W599" t="s">
        <v>8174</v>
      </c>
      <c r="X599" t="s">
        <v>8175</v>
      </c>
      <c r="Y599" t="s">
        <v>74</v>
      </c>
      <c r="Z599" t="s">
        <v>8176</v>
      </c>
      <c r="AA599" t="s">
        <v>8177</v>
      </c>
      <c r="AB599" t="s">
        <v>8178</v>
      </c>
      <c r="AC599" t="s">
        <v>74</v>
      </c>
      <c r="AD599" t="s">
        <v>74</v>
      </c>
      <c r="AE599" t="s">
        <v>74</v>
      </c>
      <c r="AF599" t="s">
        <v>74</v>
      </c>
      <c r="AG599">
        <v>70</v>
      </c>
      <c r="AH599">
        <v>50</v>
      </c>
      <c r="AI599">
        <v>53</v>
      </c>
      <c r="AJ599">
        <v>0</v>
      </c>
      <c r="AK599">
        <v>5</v>
      </c>
      <c r="AL599" t="s">
        <v>791</v>
      </c>
      <c r="AM599" t="s">
        <v>792</v>
      </c>
      <c r="AN599" t="s">
        <v>793</v>
      </c>
      <c r="AO599" t="s">
        <v>794</v>
      </c>
      <c r="AP599" t="s">
        <v>814</v>
      </c>
      <c r="AQ599" t="s">
        <v>74</v>
      </c>
      <c r="AR599" t="s">
        <v>795</v>
      </c>
      <c r="AS599" t="s">
        <v>796</v>
      </c>
      <c r="AT599" t="s">
        <v>7982</v>
      </c>
      <c r="AU599">
        <v>2001</v>
      </c>
      <c r="AV599">
        <v>33</v>
      </c>
      <c r="AW599">
        <v>2</v>
      </c>
      <c r="AX599" t="s">
        <v>74</v>
      </c>
      <c r="AY599" t="s">
        <v>74</v>
      </c>
      <c r="AZ599" t="s">
        <v>74</v>
      </c>
      <c r="BA599" t="s">
        <v>74</v>
      </c>
      <c r="BB599">
        <v>231</v>
      </c>
      <c r="BC599">
        <v>243</v>
      </c>
      <c r="BD599" t="s">
        <v>74</v>
      </c>
      <c r="BE599" t="s">
        <v>8179</v>
      </c>
      <c r="BF599" t="str">
        <f>HYPERLINK("http://dx.doi.org/10.2307/1552224","http://dx.doi.org/10.2307/1552224")</f>
        <v>http://dx.doi.org/10.2307/1552224</v>
      </c>
      <c r="BG599" t="s">
        <v>74</v>
      </c>
      <c r="BH599" t="s">
        <v>74</v>
      </c>
      <c r="BI599">
        <v>13</v>
      </c>
      <c r="BJ599" t="s">
        <v>798</v>
      </c>
      <c r="BK599" t="s">
        <v>88</v>
      </c>
      <c r="BL599" t="s">
        <v>799</v>
      </c>
      <c r="BM599" t="s">
        <v>8047</v>
      </c>
      <c r="BN599" t="s">
        <v>74</v>
      </c>
      <c r="BO599" t="s">
        <v>74</v>
      </c>
      <c r="BP599" t="s">
        <v>74</v>
      </c>
      <c r="BQ599" t="s">
        <v>74</v>
      </c>
      <c r="BR599" t="s">
        <v>91</v>
      </c>
      <c r="BS599" t="s">
        <v>8180</v>
      </c>
      <c r="BT599" t="str">
        <f>HYPERLINK("https%3A%2F%2Fwww.webofscience.com%2Fwos%2Fwoscc%2Ffull-record%2FWOS:000169174800014","View Full Record in Web of Science")</f>
        <v>View Full Record in Web of Science</v>
      </c>
    </row>
    <row r="600" spans="1:72" x14ac:dyDescent="0.15">
      <c r="A600" t="s">
        <v>72</v>
      </c>
      <c r="B600" t="s">
        <v>8181</v>
      </c>
      <c r="C600" t="s">
        <v>74</v>
      </c>
      <c r="D600" t="s">
        <v>74</v>
      </c>
      <c r="E600" t="s">
        <v>74</v>
      </c>
      <c r="F600" t="s">
        <v>8181</v>
      </c>
      <c r="G600" t="s">
        <v>74</v>
      </c>
      <c r="H600" t="s">
        <v>74</v>
      </c>
      <c r="I600" t="s">
        <v>8182</v>
      </c>
      <c r="J600" t="s">
        <v>8183</v>
      </c>
      <c r="K600" t="s">
        <v>74</v>
      </c>
      <c r="L600" t="s">
        <v>74</v>
      </c>
      <c r="M600" t="s">
        <v>77</v>
      </c>
      <c r="N600" t="s">
        <v>435</v>
      </c>
      <c r="O600" t="s">
        <v>8184</v>
      </c>
      <c r="P600" t="s">
        <v>8185</v>
      </c>
      <c r="Q600" t="s">
        <v>8186</v>
      </c>
      <c r="R600" t="s">
        <v>74</v>
      </c>
      <c r="S600" t="s">
        <v>74</v>
      </c>
      <c r="T600" t="s">
        <v>8187</v>
      </c>
      <c r="U600" t="s">
        <v>8188</v>
      </c>
      <c r="V600" t="s">
        <v>8189</v>
      </c>
      <c r="W600" t="s">
        <v>8190</v>
      </c>
      <c r="X600" t="s">
        <v>8191</v>
      </c>
      <c r="Y600" t="s">
        <v>8192</v>
      </c>
      <c r="Z600" t="s">
        <v>74</v>
      </c>
      <c r="AA600" t="s">
        <v>74</v>
      </c>
      <c r="AB600" t="s">
        <v>74</v>
      </c>
      <c r="AC600" t="s">
        <v>74</v>
      </c>
      <c r="AD600" t="s">
        <v>74</v>
      </c>
      <c r="AE600" t="s">
        <v>74</v>
      </c>
      <c r="AF600" t="s">
        <v>74</v>
      </c>
      <c r="AG600">
        <v>40</v>
      </c>
      <c r="AH600">
        <v>27</v>
      </c>
      <c r="AI600">
        <v>31</v>
      </c>
      <c r="AJ600">
        <v>0</v>
      </c>
      <c r="AK600">
        <v>8</v>
      </c>
      <c r="AL600" t="s">
        <v>79</v>
      </c>
      <c r="AM600" t="s">
        <v>80</v>
      </c>
      <c r="AN600" t="s">
        <v>81</v>
      </c>
      <c r="AO600" t="s">
        <v>8193</v>
      </c>
      <c r="AP600" t="s">
        <v>74</v>
      </c>
      <c r="AQ600" t="s">
        <v>74</v>
      </c>
      <c r="AR600" t="s">
        <v>8183</v>
      </c>
      <c r="AS600" t="s">
        <v>8194</v>
      </c>
      <c r="AT600" t="s">
        <v>8195</v>
      </c>
      <c r="AU600">
        <v>2001</v>
      </c>
      <c r="AV600">
        <v>43</v>
      </c>
      <c r="AW600" t="s">
        <v>8196</v>
      </c>
      <c r="AX600" t="s">
        <v>74</v>
      </c>
      <c r="AY600" t="s">
        <v>74</v>
      </c>
      <c r="AZ600" t="s">
        <v>74</v>
      </c>
      <c r="BA600" t="s">
        <v>74</v>
      </c>
      <c r="BB600">
        <v>611</v>
      </c>
      <c r="BC600">
        <v>621</v>
      </c>
      <c r="BD600" t="s">
        <v>74</v>
      </c>
      <c r="BE600" t="s">
        <v>8197</v>
      </c>
      <c r="BF600" t="str">
        <f>HYPERLINK("http://dx.doi.org/10.1016/S0045-6535(00)00413-6","http://dx.doi.org/10.1016/S0045-6535(00)00413-6")</f>
        <v>http://dx.doi.org/10.1016/S0045-6535(00)00413-6</v>
      </c>
      <c r="BG600" t="s">
        <v>74</v>
      </c>
      <c r="BH600" t="s">
        <v>74</v>
      </c>
      <c r="BI600">
        <v>11</v>
      </c>
      <c r="BJ600" t="s">
        <v>2954</v>
      </c>
      <c r="BK600" t="s">
        <v>453</v>
      </c>
      <c r="BL600" t="s">
        <v>2955</v>
      </c>
      <c r="BM600" t="s">
        <v>8198</v>
      </c>
      <c r="BN600">
        <v>11372845</v>
      </c>
      <c r="BO600" t="s">
        <v>74</v>
      </c>
      <c r="BP600" t="s">
        <v>74</v>
      </c>
      <c r="BQ600" t="s">
        <v>74</v>
      </c>
      <c r="BR600" t="s">
        <v>91</v>
      </c>
      <c r="BS600" t="s">
        <v>8199</v>
      </c>
      <c r="BT600" t="str">
        <f>HYPERLINK("https%3A%2F%2Fwww.webofscience.com%2Fwos%2Fwoscc%2Ffull-record%2FWOS:000168596800028","View Full Record in Web of Science")</f>
        <v>View Full Record in Web of Science</v>
      </c>
    </row>
    <row r="601" spans="1:72" x14ac:dyDescent="0.15">
      <c r="A601" t="s">
        <v>72</v>
      </c>
      <c r="B601" t="s">
        <v>8200</v>
      </c>
      <c r="C601" t="s">
        <v>74</v>
      </c>
      <c r="D601" t="s">
        <v>74</v>
      </c>
      <c r="E601" t="s">
        <v>74</v>
      </c>
      <c r="F601" t="s">
        <v>8200</v>
      </c>
      <c r="G601" t="s">
        <v>74</v>
      </c>
      <c r="H601" t="s">
        <v>74</v>
      </c>
      <c r="I601" t="s">
        <v>8201</v>
      </c>
      <c r="J601" t="s">
        <v>984</v>
      </c>
      <c r="K601" t="s">
        <v>74</v>
      </c>
      <c r="L601" t="s">
        <v>74</v>
      </c>
      <c r="M601" t="s">
        <v>77</v>
      </c>
      <c r="N601" t="s">
        <v>120</v>
      </c>
      <c r="O601" t="s">
        <v>74</v>
      </c>
      <c r="P601" t="s">
        <v>74</v>
      </c>
      <c r="Q601" t="s">
        <v>74</v>
      </c>
      <c r="R601" t="s">
        <v>74</v>
      </c>
      <c r="S601" t="s">
        <v>74</v>
      </c>
      <c r="T601" t="s">
        <v>8202</v>
      </c>
      <c r="U601" t="s">
        <v>8203</v>
      </c>
      <c r="V601" t="s">
        <v>8204</v>
      </c>
      <c r="W601" t="s">
        <v>5001</v>
      </c>
      <c r="X601" t="s">
        <v>462</v>
      </c>
      <c r="Y601" t="s">
        <v>8205</v>
      </c>
      <c r="Z601" t="s">
        <v>74</v>
      </c>
      <c r="AA601" t="s">
        <v>74</v>
      </c>
      <c r="AB601" t="s">
        <v>74</v>
      </c>
      <c r="AC601" t="s">
        <v>74</v>
      </c>
      <c r="AD601" t="s">
        <v>74</v>
      </c>
      <c r="AE601" t="s">
        <v>74</v>
      </c>
      <c r="AF601" t="s">
        <v>74</v>
      </c>
      <c r="AG601">
        <v>30</v>
      </c>
      <c r="AH601">
        <v>17</v>
      </c>
      <c r="AI601">
        <v>19</v>
      </c>
      <c r="AJ601">
        <v>1</v>
      </c>
      <c r="AK601">
        <v>6</v>
      </c>
      <c r="AL601" t="s">
        <v>993</v>
      </c>
      <c r="AM601" t="s">
        <v>994</v>
      </c>
      <c r="AN601" t="s">
        <v>995</v>
      </c>
      <c r="AO601" t="s">
        <v>996</v>
      </c>
      <c r="AP601" t="s">
        <v>74</v>
      </c>
      <c r="AQ601" t="s">
        <v>74</v>
      </c>
      <c r="AR601" t="s">
        <v>984</v>
      </c>
      <c r="AS601" t="s">
        <v>997</v>
      </c>
      <c r="AT601" t="s">
        <v>7982</v>
      </c>
      <c r="AU601">
        <v>2001</v>
      </c>
      <c r="AV601">
        <v>103</v>
      </c>
      <c r="AW601">
        <v>2</v>
      </c>
      <c r="AX601" t="s">
        <v>74</v>
      </c>
      <c r="AY601" t="s">
        <v>74</v>
      </c>
      <c r="AZ601" t="s">
        <v>74</v>
      </c>
      <c r="BA601" t="s">
        <v>74</v>
      </c>
      <c r="BB601">
        <v>230</v>
      </c>
      <c r="BC601">
        <v>239</v>
      </c>
      <c r="BD601" t="s">
        <v>74</v>
      </c>
      <c r="BE601" t="s">
        <v>8206</v>
      </c>
      <c r="BF601" t="str">
        <f>HYPERLINK("http://dx.doi.org/10.1650/0010-5422(2001)103[0230:PRAAPO]2.0.CO;2","http://dx.doi.org/10.1650/0010-5422(2001)103[0230:PRAAPO]2.0.CO;2")</f>
        <v>http://dx.doi.org/10.1650/0010-5422(2001)103[0230:PRAAPO]2.0.CO;2</v>
      </c>
      <c r="BG601" t="s">
        <v>74</v>
      </c>
      <c r="BH601" t="s">
        <v>74</v>
      </c>
      <c r="BI601">
        <v>10</v>
      </c>
      <c r="BJ601" t="s">
        <v>999</v>
      </c>
      <c r="BK601" t="s">
        <v>88</v>
      </c>
      <c r="BL601" t="s">
        <v>408</v>
      </c>
      <c r="BM601" t="s">
        <v>8207</v>
      </c>
      <c r="BN601" t="s">
        <v>74</v>
      </c>
      <c r="BO601" t="s">
        <v>171</v>
      </c>
      <c r="BP601" t="s">
        <v>74</v>
      </c>
      <c r="BQ601" t="s">
        <v>74</v>
      </c>
      <c r="BR601" t="s">
        <v>91</v>
      </c>
      <c r="BS601" t="s">
        <v>8208</v>
      </c>
      <c r="BT601" t="str">
        <f>HYPERLINK("https%3A%2F%2Fwww.webofscience.com%2Fwos%2Fwoscc%2Ffull-record%2FWOS:000168569600003","View Full Record in Web of Science")</f>
        <v>View Full Record in Web of Science</v>
      </c>
    </row>
    <row r="602" spans="1:72" x14ac:dyDescent="0.15">
      <c r="A602" t="s">
        <v>72</v>
      </c>
      <c r="B602" t="s">
        <v>8209</v>
      </c>
      <c r="C602" t="s">
        <v>74</v>
      </c>
      <c r="D602" t="s">
        <v>74</v>
      </c>
      <c r="E602" t="s">
        <v>74</v>
      </c>
      <c r="F602" t="s">
        <v>8209</v>
      </c>
      <c r="G602" t="s">
        <v>74</v>
      </c>
      <c r="H602" t="s">
        <v>74</v>
      </c>
      <c r="I602" t="s">
        <v>8210</v>
      </c>
      <c r="J602" t="s">
        <v>4858</v>
      </c>
      <c r="K602" t="s">
        <v>74</v>
      </c>
      <c r="L602" t="s">
        <v>74</v>
      </c>
      <c r="M602" t="s">
        <v>77</v>
      </c>
      <c r="N602" t="s">
        <v>120</v>
      </c>
      <c r="O602" t="s">
        <v>74</v>
      </c>
      <c r="P602" t="s">
        <v>74</v>
      </c>
      <c r="Q602" t="s">
        <v>74</v>
      </c>
      <c r="R602" t="s">
        <v>74</v>
      </c>
      <c r="S602" t="s">
        <v>74</v>
      </c>
      <c r="T602" t="s">
        <v>8211</v>
      </c>
      <c r="U602" t="s">
        <v>8212</v>
      </c>
      <c r="V602" t="s">
        <v>8213</v>
      </c>
      <c r="W602" t="s">
        <v>461</v>
      </c>
      <c r="X602" t="s">
        <v>462</v>
      </c>
      <c r="Y602" t="s">
        <v>8214</v>
      </c>
      <c r="Z602" t="s">
        <v>74</v>
      </c>
      <c r="AA602" t="s">
        <v>74</v>
      </c>
      <c r="AB602" t="s">
        <v>74</v>
      </c>
      <c r="AC602" t="s">
        <v>74</v>
      </c>
      <c r="AD602" t="s">
        <v>74</v>
      </c>
      <c r="AE602" t="s">
        <v>74</v>
      </c>
      <c r="AF602" t="s">
        <v>74</v>
      </c>
      <c r="AG602">
        <v>29</v>
      </c>
      <c r="AH602">
        <v>12</v>
      </c>
      <c r="AI602">
        <v>15</v>
      </c>
      <c r="AJ602">
        <v>0</v>
      </c>
      <c r="AK602">
        <v>5</v>
      </c>
      <c r="AL602" t="s">
        <v>1739</v>
      </c>
      <c r="AM602" t="s">
        <v>1133</v>
      </c>
      <c r="AN602" t="s">
        <v>1134</v>
      </c>
      <c r="AO602" t="s">
        <v>4866</v>
      </c>
      <c r="AP602" t="s">
        <v>74</v>
      </c>
      <c r="AQ602" t="s">
        <v>74</v>
      </c>
      <c r="AR602" t="s">
        <v>4858</v>
      </c>
      <c r="AS602" t="s">
        <v>4868</v>
      </c>
      <c r="AT602" t="s">
        <v>7982</v>
      </c>
      <c r="AU602">
        <v>2001</v>
      </c>
      <c r="AV602">
        <v>42</v>
      </c>
      <c r="AW602">
        <v>3</v>
      </c>
      <c r="AX602" t="s">
        <v>74</v>
      </c>
      <c r="AY602" t="s">
        <v>74</v>
      </c>
      <c r="AZ602" t="s">
        <v>74</v>
      </c>
      <c r="BA602" t="s">
        <v>74</v>
      </c>
      <c r="BB602">
        <v>170</v>
      </c>
      <c r="BC602">
        <v>181</v>
      </c>
      <c r="BD602" t="s">
        <v>74</v>
      </c>
      <c r="BE602" t="s">
        <v>8215</v>
      </c>
      <c r="BF602" t="str">
        <f>HYPERLINK("http://dx.doi.org/10.1006/cryo.2001.2319","http://dx.doi.org/10.1006/cryo.2001.2319")</f>
        <v>http://dx.doi.org/10.1006/cryo.2001.2319</v>
      </c>
      <c r="BG602" t="s">
        <v>74</v>
      </c>
      <c r="BH602" t="s">
        <v>74</v>
      </c>
      <c r="BI602">
        <v>12</v>
      </c>
      <c r="BJ602" t="s">
        <v>4870</v>
      </c>
      <c r="BK602" t="s">
        <v>88</v>
      </c>
      <c r="BL602" t="s">
        <v>4871</v>
      </c>
      <c r="BM602" t="s">
        <v>8216</v>
      </c>
      <c r="BN602">
        <v>11578116</v>
      </c>
      <c r="BO602" t="s">
        <v>74</v>
      </c>
      <c r="BP602" t="s">
        <v>74</v>
      </c>
      <c r="BQ602" t="s">
        <v>74</v>
      </c>
      <c r="BR602" t="s">
        <v>91</v>
      </c>
      <c r="BS602" t="s">
        <v>8217</v>
      </c>
      <c r="BT602" t="str">
        <f>HYPERLINK("https%3A%2F%2Fwww.webofscience.com%2Fwos%2Fwoscc%2Ffull-record%2FWOS:000171601200003","View Full Record in Web of Science")</f>
        <v>View Full Record in Web of Science</v>
      </c>
    </row>
    <row r="603" spans="1:72" x14ac:dyDescent="0.15">
      <c r="A603" t="s">
        <v>72</v>
      </c>
      <c r="B603" t="s">
        <v>8218</v>
      </c>
      <c r="C603" t="s">
        <v>74</v>
      </c>
      <c r="D603" t="s">
        <v>74</v>
      </c>
      <c r="E603" t="s">
        <v>74</v>
      </c>
      <c r="F603" t="s">
        <v>8218</v>
      </c>
      <c r="G603" t="s">
        <v>74</v>
      </c>
      <c r="H603" t="s">
        <v>74</v>
      </c>
      <c r="I603" t="s">
        <v>8219</v>
      </c>
      <c r="J603" t="s">
        <v>3533</v>
      </c>
      <c r="K603" t="s">
        <v>74</v>
      </c>
      <c r="L603" t="s">
        <v>74</v>
      </c>
      <c r="M603" t="s">
        <v>77</v>
      </c>
      <c r="N603" t="s">
        <v>120</v>
      </c>
      <c r="O603" t="s">
        <v>74</v>
      </c>
      <c r="P603" t="s">
        <v>74</v>
      </c>
      <c r="Q603" t="s">
        <v>74</v>
      </c>
      <c r="R603" t="s">
        <v>74</v>
      </c>
      <c r="S603" t="s">
        <v>74</v>
      </c>
      <c r="T603" t="s">
        <v>8220</v>
      </c>
      <c r="U603" t="s">
        <v>8221</v>
      </c>
      <c r="V603" t="s">
        <v>8222</v>
      </c>
      <c r="W603" t="s">
        <v>8223</v>
      </c>
      <c r="X603" t="s">
        <v>8224</v>
      </c>
      <c r="Y603" t="s">
        <v>8225</v>
      </c>
      <c r="Z603" t="s">
        <v>8226</v>
      </c>
      <c r="AA603" t="s">
        <v>74</v>
      </c>
      <c r="AB603" t="s">
        <v>74</v>
      </c>
      <c r="AC603" t="s">
        <v>74</v>
      </c>
      <c r="AD603" t="s">
        <v>74</v>
      </c>
      <c r="AE603" t="s">
        <v>74</v>
      </c>
      <c r="AF603" t="s">
        <v>74</v>
      </c>
      <c r="AG603">
        <v>80</v>
      </c>
      <c r="AH603">
        <v>184</v>
      </c>
      <c r="AI603">
        <v>190</v>
      </c>
      <c r="AJ603">
        <v>5</v>
      </c>
      <c r="AK603">
        <v>56</v>
      </c>
      <c r="AL603" t="s">
        <v>79</v>
      </c>
      <c r="AM603" t="s">
        <v>80</v>
      </c>
      <c r="AN603" t="s">
        <v>81</v>
      </c>
      <c r="AO603" t="s">
        <v>3542</v>
      </c>
      <c r="AP603" t="s">
        <v>74</v>
      </c>
      <c r="AQ603" t="s">
        <v>74</v>
      </c>
      <c r="AR603" t="s">
        <v>3543</v>
      </c>
      <c r="AS603" t="s">
        <v>3544</v>
      </c>
      <c r="AT603" t="s">
        <v>7982</v>
      </c>
      <c r="AU603">
        <v>2001</v>
      </c>
      <c r="AV603">
        <v>48</v>
      </c>
      <c r="AW603">
        <v>5</v>
      </c>
      <c r="AX603" t="s">
        <v>74</v>
      </c>
      <c r="AY603" t="s">
        <v>74</v>
      </c>
      <c r="AZ603" t="s">
        <v>74</v>
      </c>
      <c r="BA603" t="s">
        <v>74</v>
      </c>
      <c r="BB603">
        <v>1169</v>
      </c>
      <c r="BC603">
        <v>1198</v>
      </c>
      <c r="BD603" t="s">
        <v>74</v>
      </c>
      <c r="BE603" t="s">
        <v>8227</v>
      </c>
      <c r="BF603" t="str">
        <f>HYPERLINK("http://dx.doi.org/10.1016/S0967-0637(00)00080-7","http://dx.doi.org/10.1016/S0967-0637(00)00080-7")</f>
        <v>http://dx.doi.org/10.1016/S0967-0637(00)00080-7</v>
      </c>
      <c r="BG603" t="s">
        <v>74</v>
      </c>
      <c r="BH603" t="s">
        <v>74</v>
      </c>
      <c r="BI603">
        <v>30</v>
      </c>
      <c r="BJ603" t="s">
        <v>668</v>
      </c>
      <c r="BK603" t="s">
        <v>88</v>
      </c>
      <c r="BL603" t="s">
        <v>668</v>
      </c>
      <c r="BM603" t="s">
        <v>8228</v>
      </c>
      <c r="BN603" t="s">
        <v>74</v>
      </c>
      <c r="BO603" t="s">
        <v>74</v>
      </c>
      <c r="BP603" t="s">
        <v>74</v>
      </c>
      <c r="BQ603" t="s">
        <v>74</v>
      </c>
      <c r="BR603" t="s">
        <v>91</v>
      </c>
      <c r="BS603" t="s">
        <v>8229</v>
      </c>
      <c r="BT603" t="str">
        <f>HYPERLINK("https%3A%2F%2Fwww.webofscience.com%2Fwos%2Fwoscc%2Ffull-record%2FWOS:000167612600002","View Full Record in Web of Science")</f>
        <v>View Full Record in Web of Science</v>
      </c>
    </row>
    <row r="604" spans="1:72" x14ac:dyDescent="0.15">
      <c r="A604" t="s">
        <v>72</v>
      </c>
      <c r="B604" t="s">
        <v>8230</v>
      </c>
      <c r="C604" t="s">
        <v>74</v>
      </c>
      <c r="D604" t="s">
        <v>74</v>
      </c>
      <c r="E604" t="s">
        <v>74</v>
      </c>
      <c r="F604" t="s">
        <v>8230</v>
      </c>
      <c r="G604" t="s">
        <v>74</v>
      </c>
      <c r="H604" t="s">
        <v>74</v>
      </c>
      <c r="I604" t="s">
        <v>8231</v>
      </c>
      <c r="J604" t="s">
        <v>1020</v>
      </c>
      <c r="K604" t="s">
        <v>74</v>
      </c>
      <c r="L604" t="s">
        <v>74</v>
      </c>
      <c r="M604" t="s">
        <v>77</v>
      </c>
      <c r="N604" t="s">
        <v>120</v>
      </c>
      <c r="O604" t="s">
        <v>74</v>
      </c>
      <c r="P604" t="s">
        <v>74</v>
      </c>
      <c r="Q604" t="s">
        <v>74</v>
      </c>
      <c r="R604" t="s">
        <v>74</v>
      </c>
      <c r="S604" t="s">
        <v>74</v>
      </c>
      <c r="T604" t="s">
        <v>8232</v>
      </c>
      <c r="U604" t="s">
        <v>8233</v>
      </c>
      <c r="V604" t="s">
        <v>8234</v>
      </c>
      <c r="W604" t="s">
        <v>8235</v>
      </c>
      <c r="X604" t="s">
        <v>8236</v>
      </c>
      <c r="Y604" t="s">
        <v>8237</v>
      </c>
      <c r="Z604" t="s">
        <v>74</v>
      </c>
      <c r="AA604" t="s">
        <v>8238</v>
      </c>
      <c r="AB604" t="s">
        <v>8239</v>
      </c>
      <c r="AC604" t="s">
        <v>74</v>
      </c>
      <c r="AD604" t="s">
        <v>74</v>
      </c>
      <c r="AE604" t="s">
        <v>74</v>
      </c>
      <c r="AF604" t="s">
        <v>74</v>
      </c>
      <c r="AG604">
        <v>59</v>
      </c>
      <c r="AH604">
        <v>45</v>
      </c>
      <c r="AI604">
        <v>51</v>
      </c>
      <c r="AJ604">
        <v>3</v>
      </c>
      <c r="AK604">
        <v>15</v>
      </c>
      <c r="AL604" t="s">
        <v>1293</v>
      </c>
      <c r="AM604" t="s">
        <v>3243</v>
      </c>
      <c r="AN604" t="s">
        <v>3244</v>
      </c>
      <c r="AO604" t="s">
        <v>1030</v>
      </c>
      <c r="AP604" t="s">
        <v>74</v>
      </c>
      <c r="AQ604" t="s">
        <v>74</v>
      </c>
      <c r="AR604" t="s">
        <v>1032</v>
      </c>
      <c r="AS604" t="s">
        <v>1033</v>
      </c>
      <c r="AT604" t="s">
        <v>7982</v>
      </c>
      <c r="AU604">
        <v>2001</v>
      </c>
      <c r="AV604">
        <v>36</v>
      </c>
      <c r="AW604">
        <v>2</v>
      </c>
      <c r="AX604" t="s">
        <v>74</v>
      </c>
      <c r="AY604" t="s">
        <v>74</v>
      </c>
      <c r="AZ604" t="s">
        <v>74</v>
      </c>
      <c r="BA604" t="s">
        <v>74</v>
      </c>
      <c r="BB604">
        <v>157</v>
      </c>
      <c r="BC604">
        <v>166</v>
      </c>
      <c r="BD604" t="s">
        <v>74</v>
      </c>
      <c r="BE604" t="s">
        <v>8240</v>
      </c>
      <c r="BF604" t="str">
        <f>HYPERLINK("http://dx.doi.org/10.1017/S0967026201003122","http://dx.doi.org/10.1017/S0967026201003122")</f>
        <v>http://dx.doi.org/10.1017/S0967026201003122</v>
      </c>
      <c r="BG604" t="s">
        <v>74</v>
      </c>
      <c r="BH604" t="s">
        <v>74</v>
      </c>
      <c r="BI604">
        <v>10</v>
      </c>
      <c r="BJ604" t="s">
        <v>1035</v>
      </c>
      <c r="BK604" t="s">
        <v>88</v>
      </c>
      <c r="BL604" t="s">
        <v>1035</v>
      </c>
      <c r="BM604" t="s">
        <v>8241</v>
      </c>
      <c r="BN604" t="s">
        <v>74</v>
      </c>
      <c r="BO604" t="s">
        <v>74</v>
      </c>
      <c r="BP604" t="s">
        <v>74</v>
      </c>
      <c r="BQ604" t="s">
        <v>74</v>
      </c>
      <c r="BR604" t="s">
        <v>91</v>
      </c>
      <c r="BS604" t="s">
        <v>8242</v>
      </c>
      <c r="BT604" t="str">
        <f>HYPERLINK("https%3A%2F%2Fwww.webofscience.com%2Fwos%2Fwoscc%2Ffull-record%2FWOS:000169968100006","View Full Record in Web of Science")</f>
        <v>View Full Record in Web of Science</v>
      </c>
    </row>
    <row r="605" spans="1:72" x14ac:dyDescent="0.15">
      <c r="A605" t="s">
        <v>72</v>
      </c>
      <c r="B605" t="s">
        <v>8243</v>
      </c>
      <c r="C605" t="s">
        <v>74</v>
      </c>
      <c r="D605" t="s">
        <v>74</v>
      </c>
      <c r="E605" t="s">
        <v>74</v>
      </c>
      <c r="F605" t="s">
        <v>8243</v>
      </c>
      <c r="G605" t="s">
        <v>74</v>
      </c>
      <c r="H605" t="s">
        <v>74</v>
      </c>
      <c r="I605" t="s">
        <v>8244</v>
      </c>
      <c r="J605" t="s">
        <v>4984</v>
      </c>
      <c r="K605" t="s">
        <v>74</v>
      </c>
      <c r="L605" t="s">
        <v>74</v>
      </c>
      <c r="M605" t="s">
        <v>77</v>
      </c>
      <c r="N605" t="s">
        <v>120</v>
      </c>
      <c r="O605" t="s">
        <v>74</v>
      </c>
      <c r="P605" t="s">
        <v>74</v>
      </c>
      <c r="Q605" t="s">
        <v>74</v>
      </c>
      <c r="R605" t="s">
        <v>74</v>
      </c>
      <c r="S605" t="s">
        <v>74</v>
      </c>
      <c r="T605" t="s">
        <v>8245</v>
      </c>
      <c r="U605" t="s">
        <v>8246</v>
      </c>
      <c r="V605" t="s">
        <v>8247</v>
      </c>
      <c r="W605" t="s">
        <v>8248</v>
      </c>
      <c r="X605" t="s">
        <v>419</v>
      </c>
      <c r="Y605" t="s">
        <v>8249</v>
      </c>
      <c r="Z605" t="s">
        <v>8250</v>
      </c>
      <c r="AA605" t="s">
        <v>8251</v>
      </c>
      <c r="AB605" t="s">
        <v>8252</v>
      </c>
      <c r="AC605" t="s">
        <v>74</v>
      </c>
      <c r="AD605" t="s">
        <v>74</v>
      </c>
      <c r="AE605" t="s">
        <v>74</v>
      </c>
      <c r="AF605" t="s">
        <v>74</v>
      </c>
      <c r="AG605">
        <v>37</v>
      </c>
      <c r="AH605">
        <v>182</v>
      </c>
      <c r="AI605">
        <v>218</v>
      </c>
      <c r="AJ605">
        <v>1</v>
      </c>
      <c r="AK605">
        <v>29</v>
      </c>
      <c r="AL605" t="s">
        <v>273</v>
      </c>
      <c r="AM605" t="s">
        <v>80</v>
      </c>
      <c r="AN605" t="s">
        <v>274</v>
      </c>
      <c r="AO605" t="s">
        <v>4989</v>
      </c>
      <c r="AP605" t="s">
        <v>8253</v>
      </c>
      <c r="AQ605" t="s">
        <v>74</v>
      </c>
      <c r="AR605" t="s">
        <v>4990</v>
      </c>
      <c r="AS605" t="s">
        <v>4991</v>
      </c>
      <c r="AT605" t="s">
        <v>7982</v>
      </c>
      <c r="AU605">
        <v>2001</v>
      </c>
      <c r="AV605">
        <v>35</v>
      </c>
      <c r="AW605">
        <v>3</v>
      </c>
      <c r="AX605" t="s">
        <v>74</v>
      </c>
      <c r="AY605" t="s">
        <v>74</v>
      </c>
      <c r="AZ605" t="s">
        <v>74</v>
      </c>
      <c r="BA605" t="s">
        <v>74</v>
      </c>
      <c r="BB605">
        <v>267</v>
      </c>
      <c r="BC605">
        <v>275</v>
      </c>
      <c r="BD605" t="s">
        <v>74</v>
      </c>
      <c r="BE605" t="s">
        <v>8254</v>
      </c>
      <c r="BF605" t="str">
        <f>HYPERLINK("http://dx.doi.org/10.1016/S0168-6496(01)00100-3","http://dx.doi.org/10.1016/S0168-6496(01)00100-3")</f>
        <v>http://dx.doi.org/10.1016/S0168-6496(01)00100-3</v>
      </c>
      <c r="BG605" t="s">
        <v>74</v>
      </c>
      <c r="BH605" t="s">
        <v>74</v>
      </c>
      <c r="BI605">
        <v>9</v>
      </c>
      <c r="BJ605" t="s">
        <v>1196</v>
      </c>
      <c r="BK605" t="s">
        <v>88</v>
      </c>
      <c r="BL605" t="s">
        <v>1196</v>
      </c>
      <c r="BM605" t="s">
        <v>8255</v>
      </c>
      <c r="BN605">
        <v>11311437</v>
      </c>
      <c r="BO605" t="s">
        <v>171</v>
      </c>
      <c r="BP605" t="s">
        <v>74</v>
      </c>
      <c r="BQ605" t="s">
        <v>74</v>
      </c>
      <c r="BR605" t="s">
        <v>91</v>
      </c>
      <c r="BS605" t="s">
        <v>8256</v>
      </c>
      <c r="BT605" t="str">
        <f>HYPERLINK("https%3A%2F%2Fwww.webofscience.com%2Fwos%2Fwoscc%2Ffull-record%2FWOS:000168395500006","View Full Record in Web of Science")</f>
        <v>View Full Record in Web of Science</v>
      </c>
    </row>
    <row r="606" spans="1:72" x14ac:dyDescent="0.15">
      <c r="A606" t="s">
        <v>72</v>
      </c>
      <c r="B606" t="s">
        <v>8257</v>
      </c>
      <c r="C606" t="s">
        <v>74</v>
      </c>
      <c r="D606" t="s">
        <v>74</v>
      </c>
      <c r="E606" t="s">
        <v>74</v>
      </c>
      <c r="F606" t="s">
        <v>8257</v>
      </c>
      <c r="G606" t="s">
        <v>74</v>
      </c>
      <c r="H606" t="s">
        <v>74</v>
      </c>
      <c r="I606" t="s">
        <v>8258</v>
      </c>
      <c r="J606" t="s">
        <v>3626</v>
      </c>
      <c r="K606" t="s">
        <v>74</v>
      </c>
      <c r="L606" t="s">
        <v>74</v>
      </c>
      <c r="M606" t="s">
        <v>77</v>
      </c>
      <c r="N606" t="s">
        <v>120</v>
      </c>
      <c r="O606" t="s">
        <v>74</v>
      </c>
      <c r="P606" t="s">
        <v>74</v>
      </c>
      <c r="Q606" t="s">
        <v>74</v>
      </c>
      <c r="R606" t="s">
        <v>74</v>
      </c>
      <c r="S606" t="s">
        <v>74</v>
      </c>
      <c r="T606" t="s">
        <v>74</v>
      </c>
      <c r="U606" t="s">
        <v>8259</v>
      </c>
      <c r="V606" t="s">
        <v>8260</v>
      </c>
      <c r="W606" t="s">
        <v>8261</v>
      </c>
      <c r="X606" t="s">
        <v>8262</v>
      </c>
      <c r="Y606" t="s">
        <v>8263</v>
      </c>
      <c r="Z606" t="s">
        <v>8264</v>
      </c>
      <c r="AA606" t="s">
        <v>8265</v>
      </c>
      <c r="AB606" t="s">
        <v>8266</v>
      </c>
      <c r="AC606" t="s">
        <v>74</v>
      </c>
      <c r="AD606" t="s">
        <v>74</v>
      </c>
      <c r="AE606" t="s">
        <v>74</v>
      </c>
      <c r="AF606" t="s">
        <v>74</v>
      </c>
      <c r="AG606">
        <v>76</v>
      </c>
      <c r="AH606">
        <v>72</v>
      </c>
      <c r="AI606">
        <v>84</v>
      </c>
      <c r="AJ606">
        <v>1</v>
      </c>
      <c r="AK606">
        <v>27</v>
      </c>
      <c r="AL606" t="s">
        <v>79</v>
      </c>
      <c r="AM606" t="s">
        <v>80</v>
      </c>
      <c r="AN606" t="s">
        <v>81</v>
      </c>
      <c r="AO606" t="s">
        <v>3634</v>
      </c>
      <c r="AP606" t="s">
        <v>74</v>
      </c>
      <c r="AQ606" t="s">
        <v>74</v>
      </c>
      <c r="AR606" t="s">
        <v>3635</v>
      </c>
      <c r="AS606" t="s">
        <v>3636</v>
      </c>
      <c r="AT606" t="s">
        <v>7982</v>
      </c>
      <c r="AU606">
        <v>2001</v>
      </c>
      <c r="AV606">
        <v>65</v>
      </c>
      <c r="AW606">
        <v>10</v>
      </c>
      <c r="AX606" t="s">
        <v>74</v>
      </c>
      <c r="AY606" t="s">
        <v>74</v>
      </c>
      <c r="AZ606" t="s">
        <v>74</v>
      </c>
      <c r="BA606" t="s">
        <v>74</v>
      </c>
      <c r="BB606">
        <v>1629</v>
      </c>
      <c r="BC606">
        <v>1640</v>
      </c>
      <c r="BD606" t="s">
        <v>74</v>
      </c>
      <c r="BE606" t="s">
        <v>8267</v>
      </c>
      <c r="BF606" t="str">
        <f>HYPERLINK("http://dx.doi.org/10.1016/S0016-7037(00)00627-X","http://dx.doi.org/10.1016/S0016-7037(00)00627-X")</f>
        <v>http://dx.doi.org/10.1016/S0016-7037(00)00627-X</v>
      </c>
      <c r="BG606" t="s">
        <v>74</v>
      </c>
      <c r="BH606" t="s">
        <v>74</v>
      </c>
      <c r="BI606">
        <v>12</v>
      </c>
      <c r="BJ606" t="s">
        <v>388</v>
      </c>
      <c r="BK606" t="s">
        <v>88</v>
      </c>
      <c r="BL606" t="s">
        <v>388</v>
      </c>
      <c r="BM606" t="s">
        <v>8268</v>
      </c>
      <c r="BN606" t="s">
        <v>74</v>
      </c>
      <c r="BO606" t="s">
        <v>74</v>
      </c>
      <c r="BP606" t="s">
        <v>74</v>
      </c>
      <c r="BQ606" t="s">
        <v>74</v>
      </c>
      <c r="BR606" t="s">
        <v>91</v>
      </c>
      <c r="BS606" t="s">
        <v>8269</v>
      </c>
      <c r="BT606" t="str">
        <f>HYPERLINK("https%3A%2F%2Fwww.webofscience.com%2Fwos%2Fwoscc%2Ffull-record%2FWOS:000168762600008","View Full Record in Web of Science")</f>
        <v>View Full Record in Web of Science</v>
      </c>
    </row>
    <row r="607" spans="1:72" x14ac:dyDescent="0.15">
      <c r="A607" t="s">
        <v>72</v>
      </c>
      <c r="B607" t="s">
        <v>8270</v>
      </c>
      <c r="C607" t="s">
        <v>74</v>
      </c>
      <c r="D607" t="s">
        <v>74</v>
      </c>
      <c r="E607" t="s">
        <v>74</v>
      </c>
      <c r="F607" t="s">
        <v>8270</v>
      </c>
      <c r="G607" t="s">
        <v>74</v>
      </c>
      <c r="H607" t="s">
        <v>74</v>
      </c>
      <c r="I607" t="s">
        <v>8271</v>
      </c>
      <c r="J607" t="s">
        <v>2302</v>
      </c>
      <c r="K607" t="s">
        <v>74</v>
      </c>
      <c r="L607" t="s">
        <v>74</v>
      </c>
      <c r="M607" t="s">
        <v>77</v>
      </c>
      <c r="N607" t="s">
        <v>120</v>
      </c>
      <c r="O607" t="s">
        <v>74</v>
      </c>
      <c r="P607" t="s">
        <v>74</v>
      </c>
      <c r="Q607" t="s">
        <v>74</v>
      </c>
      <c r="R607" t="s">
        <v>74</v>
      </c>
      <c r="S607" t="s">
        <v>74</v>
      </c>
      <c r="T607" t="s">
        <v>8272</v>
      </c>
      <c r="U607" t="s">
        <v>8273</v>
      </c>
      <c r="V607" t="s">
        <v>8274</v>
      </c>
      <c r="W607" t="s">
        <v>8275</v>
      </c>
      <c r="X607" t="s">
        <v>8276</v>
      </c>
      <c r="Y607" t="s">
        <v>8277</v>
      </c>
      <c r="Z607" t="s">
        <v>8278</v>
      </c>
      <c r="AA607" t="s">
        <v>8279</v>
      </c>
      <c r="AB607" t="s">
        <v>8280</v>
      </c>
      <c r="AC607" t="s">
        <v>74</v>
      </c>
      <c r="AD607" t="s">
        <v>74</v>
      </c>
      <c r="AE607" t="s">
        <v>74</v>
      </c>
      <c r="AF607" t="s">
        <v>74</v>
      </c>
      <c r="AG607">
        <v>25</v>
      </c>
      <c r="AH607">
        <v>243</v>
      </c>
      <c r="AI607">
        <v>284</v>
      </c>
      <c r="AJ607">
        <v>0</v>
      </c>
      <c r="AK607">
        <v>19</v>
      </c>
      <c r="AL607" t="s">
        <v>2311</v>
      </c>
      <c r="AM607" t="s">
        <v>792</v>
      </c>
      <c r="AN607" t="s">
        <v>2312</v>
      </c>
      <c r="AO607" t="s">
        <v>2313</v>
      </c>
      <c r="AP607" t="s">
        <v>2314</v>
      </c>
      <c r="AQ607" t="s">
        <v>74</v>
      </c>
      <c r="AR607" t="s">
        <v>2302</v>
      </c>
      <c r="AS607" t="s">
        <v>113</v>
      </c>
      <c r="AT607" t="s">
        <v>7982</v>
      </c>
      <c r="AU607">
        <v>2001</v>
      </c>
      <c r="AV607">
        <v>29</v>
      </c>
      <c r="AW607">
        <v>5</v>
      </c>
      <c r="AX607" t="s">
        <v>74</v>
      </c>
      <c r="AY607" t="s">
        <v>74</v>
      </c>
      <c r="AZ607" t="s">
        <v>74</v>
      </c>
      <c r="BA607" t="s">
        <v>74</v>
      </c>
      <c r="BB607">
        <v>463</v>
      </c>
      <c r="BC607">
        <v>466</v>
      </c>
      <c r="BD607" t="s">
        <v>74</v>
      </c>
      <c r="BE607" t="s">
        <v>8281</v>
      </c>
      <c r="BF607" t="str">
        <f>HYPERLINK("http://dx.doi.org/10.1130/0091-7613(2001)029&lt;0463:EPTWTE&gt;2.0.CO;2","http://dx.doi.org/10.1130/0091-7613(2001)029&lt;0463:EPTWTE&gt;2.0.CO;2")</f>
        <v>http://dx.doi.org/10.1130/0091-7613(2001)029&lt;0463:EPTWTE&gt;2.0.CO;2</v>
      </c>
      <c r="BG607" t="s">
        <v>74</v>
      </c>
      <c r="BH607" t="s">
        <v>74</v>
      </c>
      <c r="BI607">
        <v>4</v>
      </c>
      <c r="BJ607" t="s">
        <v>113</v>
      </c>
      <c r="BK607" t="s">
        <v>88</v>
      </c>
      <c r="BL607" t="s">
        <v>113</v>
      </c>
      <c r="BM607" t="s">
        <v>8282</v>
      </c>
      <c r="BN607" t="s">
        <v>74</v>
      </c>
      <c r="BO607" t="s">
        <v>74</v>
      </c>
      <c r="BP607" t="s">
        <v>74</v>
      </c>
      <c r="BQ607" t="s">
        <v>74</v>
      </c>
      <c r="BR607" t="s">
        <v>91</v>
      </c>
      <c r="BS607" t="s">
        <v>8283</v>
      </c>
      <c r="BT607" t="str">
        <f>HYPERLINK("https%3A%2F%2Fwww.webofscience.com%2Fwos%2Fwoscc%2Ffull-record%2FWOS:000168445700022","View Full Record in Web of Science")</f>
        <v>View Full Record in Web of Science</v>
      </c>
    </row>
    <row r="608" spans="1:72" x14ac:dyDescent="0.15">
      <c r="A608" t="s">
        <v>72</v>
      </c>
      <c r="B608" t="s">
        <v>8284</v>
      </c>
      <c r="C608" t="s">
        <v>74</v>
      </c>
      <c r="D608" t="s">
        <v>74</v>
      </c>
      <c r="E608" t="s">
        <v>74</v>
      </c>
      <c r="F608" t="s">
        <v>8284</v>
      </c>
      <c r="G608" t="s">
        <v>74</v>
      </c>
      <c r="H608" t="s">
        <v>74</v>
      </c>
      <c r="I608" t="s">
        <v>8285</v>
      </c>
      <c r="J608" t="s">
        <v>3670</v>
      </c>
      <c r="K608" t="s">
        <v>74</v>
      </c>
      <c r="L608" t="s">
        <v>74</v>
      </c>
      <c r="M608" t="s">
        <v>77</v>
      </c>
      <c r="N608" t="s">
        <v>120</v>
      </c>
      <c r="O608" t="s">
        <v>74</v>
      </c>
      <c r="P608" t="s">
        <v>74</v>
      </c>
      <c r="Q608" t="s">
        <v>74</v>
      </c>
      <c r="R608" t="s">
        <v>74</v>
      </c>
      <c r="S608" t="s">
        <v>74</v>
      </c>
      <c r="T608" t="s">
        <v>74</v>
      </c>
      <c r="U608" t="s">
        <v>8286</v>
      </c>
      <c r="V608" t="s">
        <v>8287</v>
      </c>
      <c r="W608" t="s">
        <v>8288</v>
      </c>
      <c r="X608" t="s">
        <v>8289</v>
      </c>
      <c r="Y608" t="s">
        <v>8290</v>
      </c>
      <c r="Z608" t="s">
        <v>74</v>
      </c>
      <c r="AA608" t="s">
        <v>74</v>
      </c>
      <c r="AB608" t="s">
        <v>74</v>
      </c>
      <c r="AC608" t="s">
        <v>74</v>
      </c>
      <c r="AD608" t="s">
        <v>74</v>
      </c>
      <c r="AE608" t="s">
        <v>74</v>
      </c>
      <c r="AF608" t="s">
        <v>74</v>
      </c>
      <c r="AG608">
        <v>30</v>
      </c>
      <c r="AH608">
        <v>0</v>
      </c>
      <c r="AI608">
        <v>0</v>
      </c>
      <c r="AJ608">
        <v>0</v>
      </c>
      <c r="AK608">
        <v>0</v>
      </c>
      <c r="AL608" t="s">
        <v>3678</v>
      </c>
      <c r="AM608" t="s">
        <v>3679</v>
      </c>
      <c r="AN608" t="s">
        <v>3680</v>
      </c>
      <c r="AO608" t="s">
        <v>3681</v>
      </c>
      <c r="AP608" t="s">
        <v>74</v>
      </c>
      <c r="AQ608" t="s">
        <v>74</v>
      </c>
      <c r="AR608" t="s">
        <v>3682</v>
      </c>
      <c r="AS608" t="s">
        <v>3683</v>
      </c>
      <c r="AT608" t="s">
        <v>8195</v>
      </c>
      <c r="AU608">
        <v>2001</v>
      </c>
      <c r="AV608">
        <v>41</v>
      </c>
      <c r="AW608">
        <v>3</v>
      </c>
      <c r="AX608" t="s">
        <v>74</v>
      </c>
      <c r="AY608" t="s">
        <v>74</v>
      </c>
      <c r="AZ608" t="s">
        <v>74</v>
      </c>
      <c r="BA608" t="s">
        <v>74</v>
      </c>
      <c r="BB608">
        <v>396</v>
      </c>
      <c r="BC608">
        <v>406</v>
      </c>
      <c r="BD608" t="s">
        <v>74</v>
      </c>
      <c r="BE608" t="s">
        <v>74</v>
      </c>
      <c r="BF608" t="s">
        <v>74</v>
      </c>
      <c r="BG608" t="s">
        <v>74</v>
      </c>
      <c r="BH608" t="s">
        <v>74</v>
      </c>
      <c r="BI608">
        <v>11</v>
      </c>
      <c r="BJ608" t="s">
        <v>388</v>
      </c>
      <c r="BK608" t="s">
        <v>88</v>
      </c>
      <c r="BL608" t="s">
        <v>388</v>
      </c>
      <c r="BM608" t="s">
        <v>8291</v>
      </c>
      <c r="BN608" t="s">
        <v>74</v>
      </c>
      <c r="BO608" t="s">
        <v>74</v>
      </c>
      <c r="BP608" t="s">
        <v>74</v>
      </c>
      <c r="BQ608" t="s">
        <v>74</v>
      </c>
      <c r="BR608" t="s">
        <v>91</v>
      </c>
      <c r="BS608" t="s">
        <v>8292</v>
      </c>
      <c r="BT608" t="str">
        <f>HYPERLINK("https%3A%2F%2Fwww.webofscience.com%2Fwos%2Fwoscc%2Ffull-record%2FWOS:000169754500021","View Full Record in Web of Science")</f>
        <v>View Full Record in Web of Science</v>
      </c>
    </row>
    <row r="609" spans="1:72" x14ac:dyDescent="0.15">
      <c r="A609" t="s">
        <v>72</v>
      </c>
      <c r="B609" t="s">
        <v>8293</v>
      </c>
      <c r="C609" t="s">
        <v>74</v>
      </c>
      <c r="D609" t="s">
        <v>74</v>
      </c>
      <c r="E609" t="s">
        <v>74</v>
      </c>
      <c r="F609" t="s">
        <v>8293</v>
      </c>
      <c r="G609" t="s">
        <v>74</v>
      </c>
      <c r="H609" t="s">
        <v>74</v>
      </c>
      <c r="I609" t="s">
        <v>8294</v>
      </c>
      <c r="J609" t="s">
        <v>613</v>
      </c>
      <c r="K609" t="s">
        <v>74</v>
      </c>
      <c r="L609" t="s">
        <v>74</v>
      </c>
      <c r="M609" t="s">
        <v>77</v>
      </c>
      <c r="N609" t="s">
        <v>120</v>
      </c>
      <c r="O609" t="s">
        <v>74</v>
      </c>
      <c r="P609" t="s">
        <v>74</v>
      </c>
      <c r="Q609" t="s">
        <v>74</v>
      </c>
      <c r="R609" t="s">
        <v>74</v>
      </c>
      <c r="S609" t="s">
        <v>74</v>
      </c>
      <c r="T609" t="s">
        <v>74</v>
      </c>
      <c r="U609" t="s">
        <v>8295</v>
      </c>
      <c r="V609" t="s">
        <v>8296</v>
      </c>
      <c r="W609" t="s">
        <v>8297</v>
      </c>
      <c r="X609" t="s">
        <v>8298</v>
      </c>
      <c r="Y609" t="s">
        <v>8299</v>
      </c>
      <c r="Z609" t="s">
        <v>74</v>
      </c>
      <c r="AA609" t="s">
        <v>8300</v>
      </c>
      <c r="AB609" t="s">
        <v>8301</v>
      </c>
      <c r="AC609" t="s">
        <v>74</v>
      </c>
      <c r="AD609" t="s">
        <v>74</v>
      </c>
      <c r="AE609" t="s">
        <v>74</v>
      </c>
      <c r="AF609" t="s">
        <v>74</v>
      </c>
      <c r="AG609">
        <v>15</v>
      </c>
      <c r="AH609">
        <v>23</v>
      </c>
      <c r="AI609">
        <v>23</v>
      </c>
      <c r="AJ609">
        <v>1</v>
      </c>
      <c r="AK609">
        <v>1</v>
      </c>
      <c r="AL609" t="s">
        <v>149</v>
      </c>
      <c r="AM609" t="s">
        <v>150</v>
      </c>
      <c r="AN609" t="s">
        <v>151</v>
      </c>
      <c r="AO609" t="s">
        <v>619</v>
      </c>
      <c r="AP609" t="s">
        <v>74</v>
      </c>
      <c r="AQ609" t="s">
        <v>74</v>
      </c>
      <c r="AR609" t="s">
        <v>620</v>
      </c>
      <c r="AS609" t="s">
        <v>621</v>
      </c>
      <c r="AT609" t="s">
        <v>8302</v>
      </c>
      <c r="AU609">
        <v>2001</v>
      </c>
      <c r="AV609">
        <v>28</v>
      </c>
      <c r="AW609">
        <v>9</v>
      </c>
      <c r="AX609" t="s">
        <v>74</v>
      </c>
      <c r="AY609" t="s">
        <v>74</v>
      </c>
      <c r="AZ609" t="s">
        <v>74</v>
      </c>
      <c r="BA609" t="s">
        <v>74</v>
      </c>
      <c r="BB609">
        <v>1747</v>
      </c>
      <c r="BC609">
        <v>1750</v>
      </c>
      <c r="BD609" t="s">
        <v>74</v>
      </c>
      <c r="BE609" t="s">
        <v>8303</v>
      </c>
      <c r="BF609" t="str">
        <f>HYPERLINK("http://dx.doi.org/10.1029/2000GL012443","http://dx.doi.org/10.1029/2000GL012443")</f>
        <v>http://dx.doi.org/10.1029/2000GL012443</v>
      </c>
      <c r="BG609" t="s">
        <v>74</v>
      </c>
      <c r="BH609" t="s">
        <v>74</v>
      </c>
      <c r="BI609">
        <v>4</v>
      </c>
      <c r="BJ609" t="s">
        <v>300</v>
      </c>
      <c r="BK609" t="s">
        <v>88</v>
      </c>
      <c r="BL609" t="s">
        <v>113</v>
      </c>
      <c r="BM609" t="s">
        <v>8304</v>
      </c>
      <c r="BN609" t="s">
        <v>74</v>
      </c>
      <c r="BO609" t="s">
        <v>171</v>
      </c>
      <c r="BP609" t="s">
        <v>74</v>
      </c>
      <c r="BQ609" t="s">
        <v>74</v>
      </c>
      <c r="BR609" t="s">
        <v>91</v>
      </c>
      <c r="BS609" t="s">
        <v>8305</v>
      </c>
      <c r="BT609" t="str">
        <f>HYPERLINK("https%3A%2F%2Fwww.webofscience.com%2Fwos%2Fwoscc%2Ffull-record%2FWOS:000168243100020","View Full Record in Web of Science")</f>
        <v>View Full Record in Web of Science</v>
      </c>
    </row>
    <row r="610" spans="1:72" x14ac:dyDescent="0.15">
      <c r="A610" t="s">
        <v>72</v>
      </c>
      <c r="B610" t="s">
        <v>8306</v>
      </c>
      <c r="C610" t="s">
        <v>74</v>
      </c>
      <c r="D610" t="s">
        <v>74</v>
      </c>
      <c r="E610" t="s">
        <v>74</v>
      </c>
      <c r="F610" t="s">
        <v>8306</v>
      </c>
      <c r="G610" t="s">
        <v>74</v>
      </c>
      <c r="H610" t="s">
        <v>74</v>
      </c>
      <c r="I610" t="s">
        <v>8307</v>
      </c>
      <c r="J610" t="s">
        <v>2403</v>
      </c>
      <c r="K610" t="s">
        <v>74</v>
      </c>
      <c r="L610" t="s">
        <v>74</v>
      </c>
      <c r="M610" t="s">
        <v>77</v>
      </c>
      <c r="N610" t="s">
        <v>120</v>
      </c>
      <c r="O610" t="s">
        <v>74</v>
      </c>
      <c r="P610" t="s">
        <v>74</v>
      </c>
      <c r="Q610" t="s">
        <v>74</v>
      </c>
      <c r="R610" t="s">
        <v>74</v>
      </c>
      <c r="S610" t="s">
        <v>74</v>
      </c>
      <c r="T610" t="s">
        <v>8308</v>
      </c>
      <c r="U610" t="s">
        <v>8309</v>
      </c>
      <c r="V610" t="s">
        <v>8310</v>
      </c>
      <c r="W610" t="s">
        <v>8311</v>
      </c>
      <c r="X610" t="s">
        <v>8312</v>
      </c>
      <c r="Y610" t="s">
        <v>8313</v>
      </c>
      <c r="Z610" t="s">
        <v>8314</v>
      </c>
      <c r="AA610" t="s">
        <v>74</v>
      </c>
      <c r="AB610" t="s">
        <v>74</v>
      </c>
      <c r="AC610" t="s">
        <v>74</v>
      </c>
      <c r="AD610" t="s">
        <v>74</v>
      </c>
      <c r="AE610" t="s">
        <v>74</v>
      </c>
      <c r="AF610" t="s">
        <v>74</v>
      </c>
      <c r="AG610">
        <v>73</v>
      </c>
      <c r="AH610">
        <v>36</v>
      </c>
      <c r="AI610">
        <v>39</v>
      </c>
      <c r="AJ610">
        <v>1</v>
      </c>
      <c r="AK610">
        <v>7</v>
      </c>
      <c r="AL610" t="s">
        <v>488</v>
      </c>
      <c r="AM610" t="s">
        <v>350</v>
      </c>
      <c r="AN610" t="s">
        <v>489</v>
      </c>
      <c r="AO610" t="s">
        <v>2410</v>
      </c>
      <c r="AP610" t="s">
        <v>2411</v>
      </c>
      <c r="AQ610" t="s">
        <v>74</v>
      </c>
      <c r="AR610" t="s">
        <v>2412</v>
      </c>
      <c r="AS610" t="s">
        <v>2413</v>
      </c>
      <c r="AT610" t="s">
        <v>7982</v>
      </c>
      <c r="AU610">
        <v>2001</v>
      </c>
      <c r="AV610">
        <v>29</v>
      </c>
      <c r="AW610" t="s">
        <v>495</v>
      </c>
      <c r="AX610" t="s">
        <v>74</v>
      </c>
      <c r="AY610" t="s">
        <v>74</v>
      </c>
      <c r="AZ610" t="s">
        <v>74</v>
      </c>
      <c r="BA610" t="s">
        <v>74</v>
      </c>
      <c r="BB610">
        <v>77</v>
      </c>
      <c r="BC610">
        <v>98</v>
      </c>
      <c r="BD610" t="s">
        <v>74</v>
      </c>
      <c r="BE610" t="s">
        <v>8315</v>
      </c>
      <c r="BF610" t="str">
        <f>HYPERLINK("http://dx.doi.org/10.1016/S0921-8181(00)00085-0","http://dx.doi.org/10.1016/S0921-8181(00)00085-0")</f>
        <v>http://dx.doi.org/10.1016/S0921-8181(00)00085-0</v>
      </c>
      <c r="BG610" t="s">
        <v>74</v>
      </c>
      <c r="BH610" t="s">
        <v>74</v>
      </c>
      <c r="BI610">
        <v>22</v>
      </c>
      <c r="BJ610" t="s">
        <v>1049</v>
      </c>
      <c r="BK610" t="s">
        <v>88</v>
      </c>
      <c r="BL610" t="s">
        <v>1050</v>
      </c>
      <c r="BM610" t="s">
        <v>8316</v>
      </c>
      <c r="BN610" t="s">
        <v>74</v>
      </c>
      <c r="BO610" t="s">
        <v>74</v>
      </c>
      <c r="BP610" t="s">
        <v>74</v>
      </c>
      <c r="BQ610" t="s">
        <v>74</v>
      </c>
      <c r="BR610" t="s">
        <v>91</v>
      </c>
      <c r="BS610" t="s">
        <v>8317</v>
      </c>
      <c r="BT610" t="str">
        <f>HYPERLINK("https%3A%2F%2Fwww.webofscience.com%2Fwos%2Fwoscc%2Ffull-record%2FWOS:000169671900004","View Full Record in Web of Science")</f>
        <v>View Full Record in Web of Science</v>
      </c>
    </row>
    <row r="611" spans="1:72" x14ac:dyDescent="0.15">
      <c r="A611" t="s">
        <v>72</v>
      </c>
      <c r="B611" t="s">
        <v>8318</v>
      </c>
      <c r="C611" t="s">
        <v>74</v>
      </c>
      <c r="D611" t="s">
        <v>74</v>
      </c>
      <c r="E611" t="s">
        <v>74</v>
      </c>
      <c r="F611" t="s">
        <v>8318</v>
      </c>
      <c r="G611" t="s">
        <v>74</v>
      </c>
      <c r="H611" t="s">
        <v>74</v>
      </c>
      <c r="I611" t="s">
        <v>8319</v>
      </c>
      <c r="J611" t="s">
        <v>8320</v>
      </c>
      <c r="K611" t="s">
        <v>74</v>
      </c>
      <c r="L611" t="s">
        <v>74</v>
      </c>
      <c r="M611" t="s">
        <v>77</v>
      </c>
      <c r="N611" t="s">
        <v>120</v>
      </c>
      <c r="O611" t="s">
        <v>74</v>
      </c>
      <c r="P611" t="s">
        <v>74</v>
      </c>
      <c r="Q611" t="s">
        <v>74</v>
      </c>
      <c r="R611" t="s">
        <v>74</v>
      </c>
      <c r="S611" t="s">
        <v>74</v>
      </c>
      <c r="T611" t="s">
        <v>8321</v>
      </c>
      <c r="U611" t="s">
        <v>8322</v>
      </c>
      <c r="V611" t="s">
        <v>8323</v>
      </c>
      <c r="W611" t="s">
        <v>8324</v>
      </c>
      <c r="X611" t="s">
        <v>8325</v>
      </c>
      <c r="Y611" t="s">
        <v>8326</v>
      </c>
      <c r="Z611" t="s">
        <v>74</v>
      </c>
      <c r="AA611" t="s">
        <v>8327</v>
      </c>
      <c r="AB611" t="s">
        <v>8328</v>
      </c>
      <c r="AC611" t="s">
        <v>74</v>
      </c>
      <c r="AD611" t="s">
        <v>74</v>
      </c>
      <c r="AE611" t="s">
        <v>74</v>
      </c>
      <c r="AF611" t="s">
        <v>74</v>
      </c>
      <c r="AG611">
        <v>46</v>
      </c>
      <c r="AH611">
        <v>33</v>
      </c>
      <c r="AI611">
        <v>35</v>
      </c>
      <c r="AJ611">
        <v>0</v>
      </c>
      <c r="AK611">
        <v>9</v>
      </c>
      <c r="AL611" t="s">
        <v>8329</v>
      </c>
      <c r="AM611" t="s">
        <v>683</v>
      </c>
      <c r="AN611" t="s">
        <v>8330</v>
      </c>
      <c r="AO611" t="s">
        <v>8331</v>
      </c>
      <c r="AP611" t="s">
        <v>74</v>
      </c>
      <c r="AQ611" t="s">
        <v>74</v>
      </c>
      <c r="AR611" t="s">
        <v>8320</v>
      </c>
      <c r="AS611" t="s">
        <v>8332</v>
      </c>
      <c r="AT611" t="s">
        <v>7982</v>
      </c>
      <c r="AU611">
        <v>2001</v>
      </c>
      <c r="AV611">
        <v>11</v>
      </c>
      <c r="AW611">
        <v>3</v>
      </c>
      <c r="AX611" t="s">
        <v>74</v>
      </c>
      <c r="AY611" t="s">
        <v>74</v>
      </c>
      <c r="AZ611" t="s">
        <v>74</v>
      </c>
      <c r="BA611" t="s">
        <v>74</v>
      </c>
      <c r="BB611">
        <v>291</v>
      </c>
      <c r="BC611">
        <v>300</v>
      </c>
      <c r="BD611" t="s">
        <v>74</v>
      </c>
      <c r="BE611" t="s">
        <v>8333</v>
      </c>
      <c r="BF611" t="str">
        <f>HYPERLINK("http://dx.doi.org/10.1191/095968301671577682","http://dx.doi.org/10.1191/095968301671577682")</f>
        <v>http://dx.doi.org/10.1191/095968301671577682</v>
      </c>
      <c r="BG611" t="s">
        <v>74</v>
      </c>
      <c r="BH611" t="s">
        <v>74</v>
      </c>
      <c r="BI611">
        <v>10</v>
      </c>
      <c r="BJ611" t="s">
        <v>1049</v>
      </c>
      <c r="BK611" t="s">
        <v>88</v>
      </c>
      <c r="BL611" t="s">
        <v>1050</v>
      </c>
      <c r="BM611" t="s">
        <v>8334</v>
      </c>
      <c r="BN611" t="s">
        <v>74</v>
      </c>
      <c r="BO611" t="s">
        <v>74</v>
      </c>
      <c r="BP611" t="s">
        <v>74</v>
      </c>
      <c r="BQ611" t="s">
        <v>74</v>
      </c>
      <c r="BR611" t="s">
        <v>91</v>
      </c>
      <c r="BS611" t="s">
        <v>8335</v>
      </c>
      <c r="BT611" t="str">
        <f>HYPERLINK("https%3A%2F%2Fwww.webofscience.com%2Fwos%2Fwoscc%2Ffull-record%2FWOS:000168047800004","View Full Record in Web of Science")</f>
        <v>View Full Record in Web of Science</v>
      </c>
    </row>
    <row r="612" spans="1:72" x14ac:dyDescent="0.15">
      <c r="A612" t="s">
        <v>72</v>
      </c>
      <c r="B612" t="s">
        <v>8336</v>
      </c>
      <c r="C612" t="s">
        <v>74</v>
      </c>
      <c r="D612" t="s">
        <v>74</v>
      </c>
      <c r="E612" t="s">
        <v>74</v>
      </c>
      <c r="F612" t="s">
        <v>8336</v>
      </c>
      <c r="G612" t="s">
        <v>74</v>
      </c>
      <c r="H612" t="s">
        <v>74</v>
      </c>
      <c r="I612" t="s">
        <v>8337</v>
      </c>
      <c r="J612" t="s">
        <v>5550</v>
      </c>
      <c r="K612" t="s">
        <v>74</v>
      </c>
      <c r="L612" t="s">
        <v>74</v>
      </c>
      <c r="M612" t="s">
        <v>77</v>
      </c>
      <c r="N612" t="s">
        <v>120</v>
      </c>
      <c r="O612" t="s">
        <v>74</v>
      </c>
      <c r="P612" t="s">
        <v>74</v>
      </c>
      <c r="Q612" t="s">
        <v>74</v>
      </c>
      <c r="R612" t="s">
        <v>74</v>
      </c>
      <c r="S612" t="s">
        <v>74</v>
      </c>
      <c r="T612" t="s">
        <v>8338</v>
      </c>
      <c r="U612" t="s">
        <v>8339</v>
      </c>
      <c r="V612" t="s">
        <v>8340</v>
      </c>
      <c r="W612" t="s">
        <v>8341</v>
      </c>
      <c r="X612" t="s">
        <v>8342</v>
      </c>
      <c r="Y612" t="s">
        <v>8343</v>
      </c>
      <c r="Z612" t="s">
        <v>74</v>
      </c>
      <c r="AA612" t="s">
        <v>8344</v>
      </c>
      <c r="AB612" t="s">
        <v>8345</v>
      </c>
      <c r="AC612" t="s">
        <v>74</v>
      </c>
      <c r="AD612" t="s">
        <v>74</v>
      </c>
      <c r="AE612" t="s">
        <v>74</v>
      </c>
      <c r="AF612" t="s">
        <v>74</v>
      </c>
      <c r="AG612">
        <v>49</v>
      </c>
      <c r="AH612">
        <v>42</v>
      </c>
      <c r="AI612">
        <v>45</v>
      </c>
      <c r="AJ612">
        <v>0</v>
      </c>
      <c r="AK612">
        <v>7</v>
      </c>
      <c r="AL612" t="s">
        <v>2223</v>
      </c>
      <c r="AM612" t="s">
        <v>2224</v>
      </c>
      <c r="AN612" t="s">
        <v>2225</v>
      </c>
      <c r="AO612" t="s">
        <v>5561</v>
      </c>
      <c r="AP612" t="s">
        <v>74</v>
      </c>
      <c r="AQ612" t="s">
        <v>74</v>
      </c>
      <c r="AR612" t="s">
        <v>5550</v>
      </c>
      <c r="AS612" t="s">
        <v>5562</v>
      </c>
      <c r="AT612" t="s">
        <v>7982</v>
      </c>
      <c r="AU612">
        <v>2001</v>
      </c>
      <c r="AV612">
        <v>451</v>
      </c>
      <c r="AW612" t="s">
        <v>2229</v>
      </c>
      <c r="AX612" t="s">
        <v>74</v>
      </c>
      <c r="AY612" t="s">
        <v>74</v>
      </c>
      <c r="AZ612" t="s">
        <v>74</v>
      </c>
      <c r="BA612" t="s">
        <v>74</v>
      </c>
      <c r="BB612">
        <v>275</v>
      </c>
      <c r="BC612">
        <v>286</v>
      </c>
      <c r="BD612" t="s">
        <v>74</v>
      </c>
      <c r="BE612" t="s">
        <v>8346</v>
      </c>
      <c r="BF612" t="str">
        <f>HYPERLINK("http://dx.doi.org/10.1023/A:1011829516239","http://dx.doi.org/10.1023/A:1011829516239")</f>
        <v>http://dx.doi.org/10.1023/A:1011829516239</v>
      </c>
      <c r="BG612" t="s">
        <v>74</v>
      </c>
      <c r="BH612" t="s">
        <v>74</v>
      </c>
      <c r="BI612">
        <v>12</v>
      </c>
      <c r="BJ612" t="s">
        <v>323</v>
      </c>
      <c r="BK612" t="s">
        <v>88</v>
      </c>
      <c r="BL612" t="s">
        <v>323</v>
      </c>
      <c r="BM612" t="s">
        <v>8347</v>
      </c>
      <c r="BN612" t="s">
        <v>74</v>
      </c>
      <c r="BO612" t="s">
        <v>74</v>
      </c>
      <c r="BP612" t="s">
        <v>74</v>
      </c>
      <c r="BQ612" t="s">
        <v>74</v>
      </c>
      <c r="BR612" t="s">
        <v>91</v>
      </c>
      <c r="BS612" t="s">
        <v>8348</v>
      </c>
      <c r="BT612" t="str">
        <f>HYPERLINK("https%3A%2F%2Fwww.webofscience.com%2Fwos%2Fwoscc%2Ffull-record%2FWOS:000170964800022","View Full Record in Web of Science")</f>
        <v>View Full Record in Web of Science</v>
      </c>
    </row>
    <row r="613" spans="1:72" x14ac:dyDescent="0.15">
      <c r="A613" t="s">
        <v>72</v>
      </c>
      <c r="B613" t="s">
        <v>8349</v>
      </c>
      <c r="C613" t="s">
        <v>74</v>
      </c>
      <c r="D613" t="s">
        <v>74</v>
      </c>
      <c r="E613" t="s">
        <v>74</v>
      </c>
      <c r="F613" t="s">
        <v>8349</v>
      </c>
      <c r="G613" t="s">
        <v>74</v>
      </c>
      <c r="H613" t="s">
        <v>74</v>
      </c>
      <c r="I613" t="s">
        <v>8350</v>
      </c>
      <c r="J613" t="s">
        <v>3739</v>
      </c>
      <c r="K613" t="s">
        <v>74</v>
      </c>
      <c r="L613" t="s">
        <v>74</v>
      </c>
      <c r="M613" t="s">
        <v>77</v>
      </c>
      <c r="N613" t="s">
        <v>120</v>
      </c>
      <c r="O613" t="s">
        <v>74</v>
      </c>
      <c r="P613" t="s">
        <v>74</v>
      </c>
      <c r="Q613" t="s">
        <v>74</v>
      </c>
      <c r="R613" t="s">
        <v>74</v>
      </c>
      <c r="S613" t="s">
        <v>74</v>
      </c>
      <c r="T613" t="s">
        <v>74</v>
      </c>
      <c r="U613" t="s">
        <v>8351</v>
      </c>
      <c r="V613" t="s">
        <v>8352</v>
      </c>
      <c r="W613" t="s">
        <v>8353</v>
      </c>
      <c r="X613" t="s">
        <v>8354</v>
      </c>
      <c r="Y613" t="s">
        <v>8355</v>
      </c>
      <c r="Z613" t="s">
        <v>74</v>
      </c>
      <c r="AA613" t="s">
        <v>8356</v>
      </c>
      <c r="AB613" t="s">
        <v>8357</v>
      </c>
      <c r="AC613" t="s">
        <v>74</v>
      </c>
      <c r="AD613" t="s">
        <v>74</v>
      </c>
      <c r="AE613" t="s">
        <v>74</v>
      </c>
      <c r="AF613" t="s">
        <v>74</v>
      </c>
      <c r="AG613">
        <v>11</v>
      </c>
      <c r="AH613">
        <v>2</v>
      </c>
      <c r="AI613">
        <v>3</v>
      </c>
      <c r="AJ613">
        <v>0</v>
      </c>
      <c r="AK613">
        <v>1</v>
      </c>
      <c r="AL613" t="s">
        <v>3678</v>
      </c>
      <c r="AM613" t="s">
        <v>3679</v>
      </c>
      <c r="AN613" t="s">
        <v>3680</v>
      </c>
      <c r="AO613" t="s">
        <v>3746</v>
      </c>
      <c r="AP613" t="s">
        <v>74</v>
      </c>
      <c r="AQ613" t="s">
        <v>74</v>
      </c>
      <c r="AR613" t="s">
        <v>3748</v>
      </c>
      <c r="AS613" t="s">
        <v>3749</v>
      </c>
      <c r="AT613" t="s">
        <v>8195</v>
      </c>
      <c r="AU613">
        <v>2001</v>
      </c>
      <c r="AV613">
        <v>37</v>
      </c>
      <c r="AW613">
        <v>3</v>
      </c>
      <c r="AX613" t="s">
        <v>74</v>
      </c>
      <c r="AY613" t="s">
        <v>74</v>
      </c>
      <c r="AZ613" t="s">
        <v>74</v>
      </c>
      <c r="BA613" t="s">
        <v>74</v>
      </c>
      <c r="BB613">
        <v>275</v>
      </c>
      <c r="BC613">
        <v>280</v>
      </c>
      <c r="BD613" t="s">
        <v>74</v>
      </c>
      <c r="BE613" t="s">
        <v>74</v>
      </c>
      <c r="BF613" t="s">
        <v>74</v>
      </c>
      <c r="BG613" t="s">
        <v>74</v>
      </c>
      <c r="BH613" t="s">
        <v>74</v>
      </c>
      <c r="BI613">
        <v>6</v>
      </c>
      <c r="BJ613" t="s">
        <v>3750</v>
      </c>
      <c r="BK613" t="s">
        <v>88</v>
      </c>
      <c r="BL613" t="s">
        <v>3750</v>
      </c>
      <c r="BM613" t="s">
        <v>8358</v>
      </c>
      <c r="BN613" t="s">
        <v>74</v>
      </c>
      <c r="BO613" t="s">
        <v>74</v>
      </c>
      <c r="BP613" t="s">
        <v>74</v>
      </c>
      <c r="BQ613" t="s">
        <v>74</v>
      </c>
      <c r="BR613" t="s">
        <v>91</v>
      </c>
      <c r="BS613" t="s">
        <v>8359</v>
      </c>
      <c r="BT613" t="str">
        <f>HYPERLINK("https%3A%2F%2Fwww.webofscience.com%2Fwos%2Fwoscc%2Ffull-record%2FWOS:000169745000002","View Full Record in Web of Science")</f>
        <v>View Full Record in Web of Science</v>
      </c>
    </row>
    <row r="614" spans="1:72" x14ac:dyDescent="0.15">
      <c r="A614" t="s">
        <v>72</v>
      </c>
      <c r="B614" t="s">
        <v>8360</v>
      </c>
      <c r="C614" t="s">
        <v>74</v>
      </c>
      <c r="D614" t="s">
        <v>74</v>
      </c>
      <c r="E614" t="s">
        <v>74</v>
      </c>
      <c r="F614" t="s">
        <v>8360</v>
      </c>
      <c r="G614" t="s">
        <v>74</v>
      </c>
      <c r="H614" t="s">
        <v>74</v>
      </c>
      <c r="I614" t="s">
        <v>8361</v>
      </c>
      <c r="J614" t="s">
        <v>3739</v>
      </c>
      <c r="K614" t="s">
        <v>74</v>
      </c>
      <c r="L614" t="s">
        <v>74</v>
      </c>
      <c r="M614" t="s">
        <v>77</v>
      </c>
      <c r="N614" t="s">
        <v>120</v>
      </c>
      <c r="O614" t="s">
        <v>74</v>
      </c>
      <c r="P614" t="s">
        <v>74</v>
      </c>
      <c r="Q614" t="s">
        <v>74</v>
      </c>
      <c r="R614" t="s">
        <v>74</v>
      </c>
      <c r="S614" t="s">
        <v>74</v>
      </c>
      <c r="T614" t="s">
        <v>74</v>
      </c>
      <c r="U614" t="s">
        <v>8362</v>
      </c>
      <c r="V614" t="s">
        <v>8363</v>
      </c>
      <c r="W614" t="s">
        <v>8364</v>
      </c>
      <c r="X614" t="s">
        <v>8365</v>
      </c>
      <c r="Y614" t="s">
        <v>8366</v>
      </c>
      <c r="Z614" t="s">
        <v>8367</v>
      </c>
      <c r="AA614" t="s">
        <v>8368</v>
      </c>
      <c r="AB614" t="s">
        <v>8369</v>
      </c>
      <c r="AC614" t="s">
        <v>74</v>
      </c>
      <c r="AD614" t="s">
        <v>74</v>
      </c>
      <c r="AE614" t="s">
        <v>74</v>
      </c>
      <c r="AF614" t="s">
        <v>74</v>
      </c>
      <c r="AG614">
        <v>22</v>
      </c>
      <c r="AH614">
        <v>5</v>
      </c>
      <c r="AI614">
        <v>6</v>
      </c>
      <c r="AJ614">
        <v>0</v>
      </c>
      <c r="AK614">
        <v>3</v>
      </c>
      <c r="AL614" t="s">
        <v>1494</v>
      </c>
      <c r="AM614" t="s">
        <v>204</v>
      </c>
      <c r="AN614" t="s">
        <v>1495</v>
      </c>
      <c r="AO614" t="s">
        <v>3746</v>
      </c>
      <c r="AP614" t="s">
        <v>3747</v>
      </c>
      <c r="AQ614" t="s">
        <v>74</v>
      </c>
      <c r="AR614" t="s">
        <v>3748</v>
      </c>
      <c r="AS614" t="s">
        <v>3749</v>
      </c>
      <c r="AT614" t="s">
        <v>8195</v>
      </c>
      <c r="AU614">
        <v>2001</v>
      </c>
      <c r="AV614">
        <v>37</v>
      </c>
      <c r="AW614">
        <v>3</v>
      </c>
      <c r="AX614" t="s">
        <v>74</v>
      </c>
      <c r="AY614" t="s">
        <v>74</v>
      </c>
      <c r="AZ614" t="s">
        <v>74</v>
      </c>
      <c r="BA614" t="s">
        <v>74</v>
      </c>
      <c r="BB614">
        <v>341</v>
      </c>
      <c r="BC614">
        <v>350</v>
      </c>
      <c r="BD614" t="s">
        <v>74</v>
      </c>
      <c r="BE614" t="s">
        <v>74</v>
      </c>
      <c r="BF614" t="s">
        <v>74</v>
      </c>
      <c r="BG614" t="s">
        <v>74</v>
      </c>
      <c r="BH614" t="s">
        <v>74</v>
      </c>
      <c r="BI614">
        <v>10</v>
      </c>
      <c r="BJ614" t="s">
        <v>3750</v>
      </c>
      <c r="BK614" t="s">
        <v>88</v>
      </c>
      <c r="BL614" t="s">
        <v>3750</v>
      </c>
      <c r="BM614" t="s">
        <v>8358</v>
      </c>
      <c r="BN614" t="s">
        <v>74</v>
      </c>
      <c r="BO614" t="s">
        <v>74</v>
      </c>
      <c r="BP614" t="s">
        <v>74</v>
      </c>
      <c r="BQ614" t="s">
        <v>74</v>
      </c>
      <c r="BR614" t="s">
        <v>91</v>
      </c>
      <c r="BS614" t="s">
        <v>8370</v>
      </c>
      <c r="BT614" t="str">
        <f>HYPERLINK("https%3A%2F%2Fwww.webofscience.com%2Fwos%2Fwoscc%2Ffull-record%2FWOS:000169745000010","View Full Record in Web of Science")</f>
        <v>View Full Record in Web of Science</v>
      </c>
    </row>
    <row r="615" spans="1:72" x14ac:dyDescent="0.15">
      <c r="A615" t="s">
        <v>72</v>
      </c>
      <c r="B615" t="s">
        <v>8371</v>
      </c>
      <c r="C615" t="s">
        <v>74</v>
      </c>
      <c r="D615" t="s">
        <v>74</v>
      </c>
      <c r="E615" t="s">
        <v>74</v>
      </c>
      <c r="F615" t="s">
        <v>8371</v>
      </c>
      <c r="G615" t="s">
        <v>74</v>
      </c>
      <c r="H615" t="s">
        <v>74</v>
      </c>
      <c r="I615" t="s">
        <v>8372</v>
      </c>
      <c r="J615" t="s">
        <v>8373</v>
      </c>
      <c r="K615" t="s">
        <v>74</v>
      </c>
      <c r="L615" t="s">
        <v>74</v>
      </c>
      <c r="M615" t="s">
        <v>77</v>
      </c>
      <c r="N615" t="s">
        <v>120</v>
      </c>
      <c r="O615" t="s">
        <v>74</v>
      </c>
      <c r="P615" t="s">
        <v>74</v>
      </c>
      <c r="Q615" t="s">
        <v>74</v>
      </c>
      <c r="R615" t="s">
        <v>74</v>
      </c>
      <c r="S615" t="s">
        <v>74</v>
      </c>
      <c r="T615" t="s">
        <v>8374</v>
      </c>
      <c r="U615" t="s">
        <v>8375</v>
      </c>
      <c r="V615" t="s">
        <v>8376</v>
      </c>
      <c r="W615" t="s">
        <v>8377</v>
      </c>
      <c r="X615" t="s">
        <v>8378</v>
      </c>
      <c r="Y615" t="s">
        <v>8379</v>
      </c>
      <c r="Z615" t="s">
        <v>74</v>
      </c>
      <c r="AA615" t="s">
        <v>8380</v>
      </c>
      <c r="AB615" t="s">
        <v>8381</v>
      </c>
      <c r="AC615" t="s">
        <v>74</v>
      </c>
      <c r="AD615" t="s">
        <v>74</v>
      </c>
      <c r="AE615" t="s">
        <v>74</v>
      </c>
      <c r="AF615" t="s">
        <v>74</v>
      </c>
      <c r="AG615">
        <v>38</v>
      </c>
      <c r="AH615">
        <v>40</v>
      </c>
      <c r="AI615">
        <v>42</v>
      </c>
      <c r="AJ615">
        <v>1</v>
      </c>
      <c r="AK615">
        <v>17</v>
      </c>
      <c r="AL615" t="s">
        <v>203</v>
      </c>
      <c r="AM615" t="s">
        <v>204</v>
      </c>
      <c r="AN615" t="s">
        <v>205</v>
      </c>
      <c r="AO615" t="s">
        <v>8382</v>
      </c>
      <c r="AP615" t="s">
        <v>74</v>
      </c>
      <c r="AQ615" t="s">
        <v>74</v>
      </c>
      <c r="AR615" t="s">
        <v>8383</v>
      </c>
      <c r="AS615" t="s">
        <v>8384</v>
      </c>
      <c r="AT615" t="s">
        <v>7982</v>
      </c>
      <c r="AU615">
        <v>2001</v>
      </c>
      <c r="AV615">
        <v>171</v>
      </c>
      <c r="AW615">
        <v>4</v>
      </c>
      <c r="AX615" t="s">
        <v>74</v>
      </c>
      <c r="AY615" t="s">
        <v>74</v>
      </c>
      <c r="AZ615" t="s">
        <v>74</v>
      </c>
      <c r="BA615" t="s">
        <v>74</v>
      </c>
      <c r="BB615">
        <v>263</v>
      </c>
      <c r="BC615">
        <v>269</v>
      </c>
      <c r="BD615" t="s">
        <v>74</v>
      </c>
      <c r="BE615" t="s">
        <v>8385</v>
      </c>
      <c r="BF615" t="str">
        <f>HYPERLINK("http://dx.doi.org/10.1007/s003600000172","http://dx.doi.org/10.1007/s003600000172")</f>
        <v>http://dx.doi.org/10.1007/s003600000172</v>
      </c>
      <c r="BG615" t="s">
        <v>74</v>
      </c>
      <c r="BH615" t="s">
        <v>74</v>
      </c>
      <c r="BI615">
        <v>7</v>
      </c>
      <c r="BJ615" t="s">
        <v>8386</v>
      </c>
      <c r="BK615" t="s">
        <v>88</v>
      </c>
      <c r="BL615" t="s">
        <v>8386</v>
      </c>
      <c r="BM615" t="s">
        <v>8387</v>
      </c>
      <c r="BN615">
        <v>11409623</v>
      </c>
      <c r="BO615" t="s">
        <v>74</v>
      </c>
      <c r="BP615" t="s">
        <v>74</v>
      </c>
      <c r="BQ615" t="s">
        <v>74</v>
      </c>
      <c r="BR615" t="s">
        <v>91</v>
      </c>
      <c r="BS615" t="s">
        <v>8388</v>
      </c>
      <c r="BT615" t="str">
        <f>HYPERLINK("https%3A%2F%2Fwww.webofscience.com%2Fwos%2Fwoscc%2Ffull-record%2FWOS:000168948400001","View Full Record in Web of Science")</f>
        <v>View Full Record in Web of Science</v>
      </c>
    </row>
    <row r="616" spans="1:72" x14ac:dyDescent="0.15">
      <c r="A616" t="s">
        <v>72</v>
      </c>
      <c r="B616" t="s">
        <v>8389</v>
      </c>
      <c r="C616" t="s">
        <v>74</v>
      </c>
      <c r="D616" t="s">
        <v>74</v>
      </c>
      <c r="E616" t="s">
        <v>74</v>
      </c>
      <c r="F616" t="s">
        <v>8389</v>
      </c>
      <c r="G616" t="s">
        <v>74</v>
      </c>
      <c r="H616" t="s">
        <v>74</v>
      </c>
      <c r="I616" t="s">
        <v>8390</v>
      </c>
      <c r="J616" t="s">
        <v>8391</v>
      </c>
      <c r="K616" t="s">
        <v>74</v>
      </c>
      <c r="L616" t="s">
        <v>74</v>
      </c>
      <c r="M616" t="s">
        <v>77</v>
      </c>
      <c r="N616" t="s">
        <v>120</v>
      </c>
      <c r="O616" t="s">
        <v>74</v>
      </c>
      <c r="P616" t="s">
        <v>74</v>
      </c>
      <c r="Q616" t="s">
        <v>74</v>
      </c>
      <c r="R616" t="s">
        <v>74</v>
      </c>
      <c r="S616" t="s">
        <v>74</v>
      </c>
      <c r="T616" t="s">
        <v>74</v>
      </c>
      <c r="U616" t="s">
        <v>74</v>
      </c>
      <c r="V616" t="s">
        <v>8392</v>
      </c>
      <c r="W616" t="s">
        <v>8393</v>
      </c>
      <c r="X616" t="s">
        <v>7702</v>
      </c>
      <c r="Y616" t="s">
        <v>8394</v>
      </c>
      <c r="Z616" t="s">
        <v>8395</v>
      </c>
      <c r="AA616" t="s">
        <v>74</v>
      </c>
      <c r="AB616" t="s">
        <v>74</v>
      </c>
      <c r="AC616" t="s">
        <v>74</v>
      </c>
      <c r="AD616" t="s">
        <v>74</v>
      </c>
      <c r="AE616" t="s">
        <v>74</v>
      </c>
      <c r="AF616" t="s">
        <v>74</v>
      </c>
      <c r="AG616">
        <v>6</v>
      </c>
      <c r="AH616">
        <v>1</v>
      </c>
      <c r="AI616">
        <v>1</v>
      </c>
      <c r="AJ616">
        <v>0</v>
      </c>
      <c r="AK616">
        <v>1</v>
      </c>
      <c r="AL616" t="s">
        <v>273</v>
      </c>
      <c r="AM616" t="s">
        <v>80</v>
      </c>
      <c r="AN616" t="s">
        <v>274</v>
      </c>
      <c r="AO616" t="s">
        <v>8396</v>
      </c>
      <c r="AP616" t="s">
        <v>8397</v>
      </c>
      <c r="AQ616" t="s">
        <v>74</v>
      </c>
      <c r="AR616" t="s">
        <v>8398</v>
      </c>
      <c r="AS616" t="s">
        <v>8399</v>
      </c>
      <c r="AT616" t="s">
        <v>7982</v>
      </c>
      <c r="AU616">
        <v>2001</v>
      </c>
      <c r="AV616">
        <v>21</v>
      </c>
      <c r="AW616">
        <v>2</v>
      </c>
      <c r="AX616" t="s">
        <v>74</v>
      </c>
      <c r="AY616" t="s">
        <v>74</v>
      </c>
      <c r="AZ616" t="s">
        <v>74</v>
      </c>
      <c r="BA616" t="s">
        <v>74</v>
      </c>
      <c r="BB616">
        <v>475</v>
      </c>
      <c r="BC616">
        <v>483</v>
      </c>
      <c r="BD616" t="s">
        <v>74</v>
      </c>
      <c r="BE616" t="s">
        <v>8400</v>
      </c>
      <c r="BF616" t="str">
        <f>HYPERLINK("http://dx.doi.org/10.1651/0278-0372(2001)021[0475:ARAAAN]2.0.CO;2","http://dx.doi.org/10.1651/0278-0372(2001)021[0475:ARAAAN]2.0.CO;2")</f>
        <v>http://dx.doi.org/10.1651/0278-0372(2001)021[0475:ARAAAN]2.0.CO;2</v>
      </c>
      <c r="BG616" t="s">
        <v>74</v>
      </c>
      <c r="BH616" t="s">
        <v>74</v>
      </c>
      <c r="BI616">
        <v>9</v>
      </c>
      <c r="BJ616" t="s">
        <v>2666</v>
      </c>
      <c r="BK616" t="s">
        <v>88</v>
      </c>
      <c r="BL616" t="s">
        <v>2666</v>
      </c>
      <c r="BM616" t="s">
        <v>8401</v>
      </c>
      <c r="BN616" t="s">
        <v>74</v>
      </c>
      <c r="BO616" t="s">
        <v>74</v>
      </c>
      <c r="BP616" t="s">
        <v>74</v>
      </c>
      <c r="BQ616" t="s">
        <v>74</v>
      </c>
      <c r="BR616" t="s">
        <v>91</v>
      </c>
      <c r="BS616" t="s">
        <v>8402</v>
      </c>
      <c r="BT616" t="str">
        <f>HYPERLINK("https%3A%2F%2Fwww.webofscience.com%2Fwos%2Fwoscc%2Ffull-record%2FWOS:000168337700019","View Full Record in Web of Science")</f>
        <v>View Full Record in Web of Science</v>
      </c>
    </row>
    <row r="617" spans="1:72" x14ac:dyDescent="0.15">
      <c r="A617" t="s">
        <v>72</v>
      </c>
      <c r="B617" t="s">
        <v>8403</v>
      </c>
      <c r="C617" t="s">
        <v>74</v>
      </c>
      <c r="D617" t="s">
        <v>74</v>
      </c>
      <c r="E617" t="s">
        <v>74</v>
      </c>
      <c r="F617" t="s">
        <v>8403</v>
      </c>
      <c r="G617" t="s">
        <v>74</v>
      </c>
      <c r="H617" t="s">
        <v>74</v>
      </c>
      <c r="I617" t="s">
        <v>8404</v>
      </c>
      <c r="J617" t="s">
        <v>8405</v>
      </c>
      <c r="K617" t="s">
        <v>74</v>
      </c>
      <c r="L617" t="s">
        <v>74</v>
      </c>
      <c r="M617" t="s">
        <v>77</v>
      </c>
      <c r="N617" t="s">
        <v>120</v>
      </c>
      <c r="O617" t="s">
        <v>74</v>
      </c>
      <c r="P617" t="s">
        <v>74</v>
      </c>
      <c r="Q617" t="s">
        <v>74</v>
      </c>
      <c r="R617" t="s">
        <v>74</v>
      </c>
      <c r="S617" t="s">
        <v>74</v>
      </c>
      <c r="T617" t="s">
        <v>8406</v>
      </c>
      <c r="U617" t="s">
        <v>74</v>
      </c>
      <c r="V617" t="s">
        <v>8407</v>
      </c>
      <c r="W617" t="s">
        <v>8408</v>
      </c>
      <c r="X617" t="s">
        <v>8409</v>
      </c>
      <c r="Y617" t="s">
        <v>8410</v>
      </c>
      <c r="Z617" t="s">
        <v>74</v>
      </c>
      <c r="AA617" t="s">
        <v>74</v>
      </c>
      <c r="AB617" t="s">
        <v>74</v>
      </c>
      <c r="AC617" t="s">
        <v>74</v>
      </c>
      <c r="AD617" t="s">
        <v>74</v>
      </c>
      <c r="AE617" t="s">
        <v>74</v>
      </c>
      <c r="AF617" t="s">
        <v>74</v>
      </c>
      <c r="AG617">
        <v>10</v>
      </c>
      <c r="AH617">
        <v>7</v>
      </c>
      <c r="AI617">
        <v>10</v>
      </c>
      <c r="AJ617">
        <v>1</v>
      </c>
      <c r="AK617">
        <v>20</v>
      </c>
      <c r="AL617" t="s">
        <v>203</v>
      </c>
      <c r="AM617" t="s">
        <v>204</v>
      </c>
      <c r="AN617" t="s">
        <v>205</v>
      </c>
      <c r="AO617" t="s">
        <v>8411</v>
      </c>
      <c r="AP617" t="s">
        <v>74</v>
      </c>
      <c r="AQ617" t="s">
        <v>74</v>
      </c>
      <c r="AR617" t="s">
        <v>8412</v>
      </c>
      <c r="AS617" t="s">
        <v>8413</v>
      </c>
      <c r="AT617" t="s">
        <v>7982</v>
      </c>
      <c r="AU617">
        <v>2001</v>
      </c>
      <c r="AV617">
        <v>75</v>
      </c>
      <c r="AW617" t="s">
        <v>3507</v>
      </c>
      <c r="AX617" t="s">
        <v>74</v>
      </c>
      <c r="AY617" t="s">
        <v>74</v>
      </c>
      <c r="AZ617" t="s">
        <v>74</v>
      </c>
      <c r="BA617" t="s">
        <v>74</v>
      </c>
      <c r="BB617">
        <v>99</v>
      </c>
      <c r="BC617">
        <v>108</v>
      </c>
      <c r="BD617" t="s">
        <v>74</v>
      </c>
      <c r="BE617" t="s">
        <v>8414</v>
      </c>
      <c r="BF617" t="str">
        <f>HYPERLINK("http://dx.doi.org/10.1007/s001900000156","http://dx.doi.org/10.1007/s001900000156")</f>
        <v>http://dx.doi.org/10.1007/s001900000156</v>
      </c>
      <c r="BG617" t="s">
        <v>74</v>
      </c>
      <c r="BH617" t="s">
        <v>74</v>
      </c>
      <c r="BI617">
        <v>10</v>
      </c>
      <c r="BJ617" t="s">
        <v>8415</v>
      </c>
      <c r="BK617" t="s">
        <v>88</v>
      </c>
      <c r="BL617" t="s">
        <v>8415</v>
      </c>
      <c r="BM617" t="s">
        <v>8416</v>
      </c>
      <c r="BN617" t="s">
        <v>74</v>
      </c>
      <c r="BO617" t="s">
        <v>74</v>
      </c>
      <c r="BP617" t="s">
        <v>74</v>
      </c>
      <c r="BQ617" t="s">
        <v>74</v>
      </c>
      <c r="BR617" t="s">
        <v>91</v>
      </c>
      <c r="BS617" t="s">
        <v>8417</v>
      </c>
      <c r="BT617" t="str">
        <f>HYPERLINK("https%3A%2F%2Fwww.webofscience.com%2Fwos%2Fwoscc%2Ffull-record%2FWOS:000169042200004","View Full Record in Web of Science")</f>
        <v>View Full Record in Web of Science</v>
      </c>
    </row>
    <row r="618" spans="1:72" x14ac:dyDescent="0.15">
      <c r="A618" t="s">
        <v>72</v>
      </c>
      <c r="B618" t="s">
        <v>8418</v>
      </c>
      <c r="C618" t="s">
        <v>74</v>
      </c>
      <c r="D618" t="s">
        <v>74</v>
      </c>
      <c r="E618" t="s">
        <v>74</v>
      </c>
      <c r="F618" t="s">
        <v>8418</v>
      </c>
      <c r="G618" t="s">
        <v>74</v>
      </c>
      <c r="H618" t="s">
        <v>74</v>
      </c>
      <c r="I618" t="s">
        <v>8419</v>
      </c>
      <c r="J618" t="s">
        <v>8420</v>
      </c>
      <c r="K618" t="s">
        <v>74</v>
      </c>
      <c r="L618" t="s">
        <v>74</v>
      </c>
      <c r="M618" t="s">
        <v>77</v>
      </c>
      <c r="N618" t="s">
        <v>120</v>
      </c>
      <c r="O618" t="s">
        <v>74</v>
      </c>
      <c r="P618" t="s">
        <v>74</v>
      </c>
      <c r="Q618" t="s">
        <v>74</v>
      </c>
      <c r="R618" t="s">
        <v>74</v>
      </c>
      <c r="S618" t="s">
        <v>74</v>
      </c>
      <c r="T618" t="s">
        <v>74</v>
      </c>
      <c r="U618" t="s">
        <v>74</v>
      </c>
      <c r="V618" t="s">
        <v>8421</v>
      </c>
      <c r="W618" t="s">
        <v>8422</v>
      </c>
      <c r="X618" t="s">
        <v>8423</v>
      </c>
      <c r="Y618" t="s">
        <v>8424</v>
      </c>
      <c r="Z618" t="s">
        <v>74</v>
      </c>
      <c r="AA618" t="s">
        <v>8425</v>
      </c>
      <c r="AB618" t="s">
        <v>8426</v>
      </c>
      <c r="AC618" t="s">
        <v>74</v>
      </c>
      <c r="AD618" t="s">
        <v>74</v>
      </c>
      <c r="AE618" t="s">
        <v>74</v>
      </c>
      <c r="AF618" t="s">
        <v>74</v>
      </c>
      <c r="AG618">
        <v>27</v>
      </c>
      <c r="AH618">
        <v>97</v>
      </c>
      <c r="AI618">
        <v>106</v>
      </c>
      <c r="AJ618">
        <v>1</v>
      </c>
      <c r="AK618">
        <v>55</v>
      </c>
      <c r="AL618" t="s">
        <v>8427</v>
      </c>
      <c r="AM618" t="s">
        <v>8428</v>
      </c>
      <c r="AN618" t="s">
        <v>8429</v>
      </c>
      <c r="AO618" t="s">
        <v>8430</v>
      </c>
      <c r="AP618" t="s">
        <v>74</v>
      </c>
      <c r="AQ618" t="s">
        <v>74</v>
      </c>
      <c r="AR618" t="s">
        <v>8431</v>
      </c>
      <c r="AS618" t="s">
        <v>8432</v>
      </c>
      <c r="AT618" t="s">
        <v>7982</v>
      </c>
      <c r="AU618">
        <v>2001</v>
      </c>
      <c r="AV618">
        <v>16</v>
      </c>
      <c r="AW618">
        <v>5</v>
      </c>
      <c r="AX618" t="s">
        <v>74</v>
      </c>
      <c r="AY618" t="s">
        <v>74</v>
      </c>
      <c r="AZ618" t="s">
        <v>74</v>
      </c>
      <c r="BA618" t="s">
        <v>74</v>
      </c>
      <c r="BB618">
        <v>1420</v>
      </c>
      <c r="BC618">
        <v>1428</v>
      </c>
      <c r="BD618" t="s">
        <v>74</v>
      </c>
      <c r="BE618" t="s">
        <v>8433</v>
      </c>
      <c r="BF618" t="str">
        <f>HYPERLINK("http://dx.doi.org/10.1557/JMR.2001.0198","http://dx.doi.org/10.1557/JMR.2001.0198")</f>
        <v>http://dx.doi.org/10.1557/JMR.2001.0198</v>
      </c>
      <c r="BG618" t="s">
        <v>74</v>
      </c>
      <c r="BH618" t="s">
        <v>74</v>
      </c>
      <c r="BI618">
        <v>9</v>
      </c>
      <c r="BJ618" t="s">
        <v>8434</v>
      </c>
      <c r="BK618" t="s">
        <v>88</v>
      </c>
      <c r="BL618" t="s">
        <v>8435</v>
      </c>
      <c r="BM618" t="s">
        <v>8436</v>
      </c>
      <c r="BN618" t="s">
        <v>74</v>
      </c>
      <c r="BO618" t="s">
        <v>74</v>
      </c>
      <c r="BP618" t="s">
        <v>74</v>
      </c>
      <c r="BQ618" t="s">
        <v>74</v>
      </c>
      <c r="BR618" t="s">
        <v>91</v>
      </c>
      <c r="BS618" t="s">
        <v>8437</v>
      </c>
      <c r="BT618" t="str">
        <f>HYPERLINK("https%3A%2F%2Fwww.webofscience.com%2Fwos%2Fwoscc%2Ffull-record%2FWOS:000168494700031","View Full Record in Web of Science")</f>
        <v>View Full Record in Web of Science</v>
      </c>
    </row>
    <row r="619" spans="1:72" x14ac:dyDescent="0.15">
      <c r="A619" t="s">
        <v>72</v>
      </c>
      <c r="B619" t="s">
        <v>8438</v>
      </c>
      <c r="C619" t="s">
        <v>74</v>
      </c>
      <c r="D619" t="s">
        <v>74</v>
      </c>
      <c r="E619" t="s">
        <v>74</v>
      </c>
      <c r="F619" t="s">
        <v>8438</v>
      </c>
      <c r="G619" t="s">
        <v>74</v>
      </c>
      <c r="H619" t="s">
        <v>74</v>
      </c>
      <c r="I619" t="s">
        <v>8439</v>
      </c>
      <c r="J619" t="s">
        <v>2522</v>
      </c>
      <c r="K619" t="s">
        <v>74</v>
      </c>
      <c r="L619" t="s">
        <v>74</v>
      </c>
      <c r="M619" t="s">
        <v>77</v>
      </c>
      <c r="N619" t="s">
        <v>120</v>
      </c>
      <c r="O619" t="s">
        <v>74</v>
      </c>
      <c r="P619" t="s">
        <v>74</v>
      </c>
      <c r="Q619" t="s">
        <v>74</v>
      </c>
      <c r="R619" t="s">
        <v>74</v>
      </c>
      <c r="S619" t="s">
        <v>74</v>
      </c>
      <c r="T619" t="s">
        <v>8440</v>
      </c>
      <c r="U619" t="s">
        <v>8441</v>
      </c>
      <c r="V619" t="s">
        <v>8442</v>
      </c>
      <c r="W619" t="s">
        <v>8443</v>
      </c>
      <c r="X619" t="s">
        <v>8444</v>
      </c>
      <c r="Y619" t="s">
        <v>8445</v>
      </c>
      <c r="Z619" t="s">
        <v>8446</v>
      </c>
      <c r="AA619" t="s">
        <v>74</v>
      </c>
      <c r="AB619" t="s">
        <v>8447</v>
      </c>
      <c r="AC619" t="s">
        <v>74</v>
      </c>
      <c r="AD619" t="s">
        <v>74</v>
      </c>
      <c r="AE619" t="s">
        <v>74</v>
      </c>
      <c r="AF619" t="s">
        <v>74</v>
      </c>
      <c r="AG619">
        <v>40</v>
      </c>
      <c r="AH619">
        <v>23</v>
      </c>
      <c r="AI619">
        <v>31</v>
      </c>
      <c r="AJ619">
        <v>0</v>
      </c>
      <c r="AK619">
        <v>14</v>
      </c>
      <c r="AL619" t="s">
        <v>1247</v>
      </c>
      <c r="AM619" t="s">
        <v>1248</v>
      </c>
      <c r="AN619" t="s">
        <v>1249</v>
      </c>
      <c r="AO619" t="s">
        <v>2533</v>
      </c>
      <c r="AP619" t="s">
        <v>8448</v>
      </c>
      <c r="AQ619" t="s">
        <v>74</v>
      </c>
      <c r="AR619" t="s">
        <v>2534</v>
      </c>
      <c r="AS619" t="s">
        <v>2535</v>
      </c>
      <c r="AT619" t="s">
        <v>7982</v>
      </c>
      <c r="AU619">
        <v>2001</v>
      </c>
      <c r="AV619">
        <v>248</v>
      </c>
      <c r="AW619">
        <v>2</v>
      </c>
      <c r="AX619" t="s">
        <v>74</v>
      </c>
      <c r="AY619" t="s">
        <v>74</v>
      </c>
      <c r="AZ619" t="s">
        <v>74</v>
      </c>
      <c r="BA619" t="s">
        <v>74</v>
      </c>
      <c r="BB619">
        <v>165</v>
      </c>
      <c r="BC619">
        <v>174</v>
      </c>
      <c r="BD619" t="s">
        <v>74</v>
      </c>
      <c r="BE619" t="s">
        <v>8449</v>
      </c>
      <c r="BF619" t="str">
        <f>HYPERLINK("http://dx.doi.org/10.1002/jmor.1027","http://dx.doi.org/10.1002/jmor.1027")</f>
        <v>http://dx.doi.org/10.1002/jmor.1027</v>
      </c>
      <c r="BG619" t="s">
        <v>74</v>
      </c>
      <c r="BH619" t="s">
        <v>74</v>
      </c>
      <c r="BI619">
        <v>10</v>
      </c>
      <c r="BJ619" t="s">
        <v>2537</v>
      </c>
      <c r="BK619" t="s">
        <v>88</v>
      </c>
      <c r="BL619" t="s">
        <v>2537</v>
      </c>
      <c r="BM619" t="s">
        <v>8450</v>
      </c>
      <c r="BN619">
        <v>11304747</v>
      </c>
      <c r="BO619" t="s">
        <v>74</v>
      </c>
      <c r="BP619" t="s">
        <v>74</v>
      </c>
      <c r="BQ619" t="s">
        <v>74</v>
      </c>
      <c r="BR619" t="s">
        <v>91</v>
      </c>
      <c r="BS619" t="s">
        <v>8451</v>
      </c>
      <c r="BT619" t="str">
        <f>HYPERLINK("https%3A%2F%2Fwww.webofscience.com%2Fwos%2Fwoscc%2Ffull-record%2FWOS:000168264700006","View Full Record in Web of Science")</f>
        <v>View Full Record in Web of Science</v>
      </c>
    </row>
    <row r="620" spans="1:72" x14ac:dyDescent="0.15">
      <c r="A620" t="s">
        <v>72</v>
      </c>
      <c r="B620" t="s">
        <v>8452</v>
      </c>
      <c r="C620" t="s">
        <v>74</v>
      </c>
      <c r="D620" t="s">
        <v>74</v>
      </c>
      <c r="E620" t="s">
        <v>74</v>
      </c>
      <c r="F620" t="s">
        <v>8452</v>
      </c>
      <c r="G620" t="s">
        <v>74</v>
      </c>
      <c r="H620" t="s">
        <v>74</v>
      </c>
      <c r="I620" t="s">
        <v>8453</v>
      </c>
      <c r="J620" t="s">
        <v>8454</v>
      </c>
      <c r="K620" t="s">
        <v>74</v>
      </c>
      <c r="L620" t="s">
        <v>74</v>
      </c>
      <c r="M620" t="s">
        <v>77</v>
      </c>
      <c r="N620" t="s">
        <v>120</v>
      </c>
      <c r="O620" t="s">
        <v>74</v>
      </c>
      <c r="P620" t="s">
        <v>74</v>
      </c>
      <c r="Q620" t="s">
        <v>74</v>
      </c>
      <c r="R620" t="s">
        <v>74</v>
      </c>
      <c r="S620" t="s">
        <v>74</v>
      </c>
      <c r="T620" t="s">
        <v>8455</v>
      </c>
      <c r="U620" t="s">
        <v>8456</v>
      </c>
      <c r="V620" t="s">
        <v>8457</v>
      </c>
      <c r="W620" t="s">
        <v>8458</v>
      </c>
      <c r="X620" t="s">
        <v>8459</v>
      </c>
      <c r="Y620" t="s">
        <v>8460</v>
      </c>
      <c r="Z620" t="s">
        <v>74</v>
      </c>
      <c r="AA620" t="s">
        <v>74</v>
      </c>
      <c r="AB620" t="s">
        <v>74</v>
      </c>
      <c r="AC620" t="s">
        <v>74</v>
      </c>
      <c r="AD620" t="s">
        <v>74</v>
      </c>
      <c r="AE620" t="s">
        <v>74</v>
      </c>
      <c r="AF620" t="s">
        <v>74</v>
      </c>
      <c r="AG620">
        <v>46</v>
      </c>
      <c r="AH620">
        <v>27</v>
      </c>
      <c r="AI620">
        <v>32</v>
      </c>
      <c r="AJ620">
        <v>0</v>
      </c>
      <c r="AK620">
        <v>5</v>
      </c>
      <c r="AL620" t="s">
        <v>2223</v>
      </c>
      <c r="AM620" t="s">
        <v>2224</v>
      </c>
      <c r="AN620" t="s">
        <v>2225</v>
      </c>
      <c r="AO620" t="s">
        <v>8461</v>
      </c>
      <c r="AP620" t="s">
        <v>74</v>
      </c>
      <c r="AQ620" t="s">
        <v>74</v>
      </c>
      <c r="AR620" t="s">
        <v>8462</v>
      </c>
      <c r="AS620" t="s">
        <v>8463</v>
      </c>
      <c r="AT620" t="s">
        <v>7982</v>
      </c>
      <c r="AU620">
        <v>2001</v>
      </c>
      <c r="AV620">
        <v>25</v>
      </c>
      <c r="AW620">
        <v>4</v>
      </c>
      <c r="AX620" t="s">
        <v>74</v>
      </c>
      <c r="AY620" t="s">
        <v>74</v>
      </c>
      <c r="AZ620" t="s">
        <v>74</v>
      </c>
      <c r="BA620" t="s">
        <v>74</v>
      </c>
      <c r="BB620">
        <v>519</v>
      </c>
      <c r="BC620">
        <v>529</v>
      </c>
      <c r="BD620" t="s">
        <v>74</v>
      </c>
      <c r="BE620" t="s">
        <v>8464</v>
      </c>
      <c r="BF620" t="str">
        <f>HYPERLINK("http://dx.doi.org/10.1023/A:1011144502713","http://dx.doi.org/10.1023/A:1011144502713")</f>
        <v>http://dx.doi.org/10.1023/A:1011144502713</v>
      </c>
      <c r="BG620" t="s">
        <v>74</v>
      </c>
      <c r="BH620" t="s">
        <v>74</v>
      </c>
      <c r="BI620">
        <v>11</v>
      </c>
      <c r="BJ620" t="s">
        <v>8465</v>
      </c>
      <c r="BK620" t="s">
        <v>88</v>
      </c>
      <c r="BL620" t="s">
        <v>8466</v>
      </c>
      <c r="BM620" t="s">
        <v>8467</v>
      </c>
      <c r="BN620" t="s">
        <v>74</v>
      </c>
      <c r="BO620" t="s">
        <v>74</v>
      </c>
      <c r="BP620" t="s">
        <v>74</v>
      </c>
      <c r="BQ620" t="s">
        <v>74</v>
      </c>
      <c r="BR620" t="s">
        <v>91</v>
      </c>
      <c r="BS620" t="s">
        <v>8468</v>
      </c>
      <c r="BT620" t="str">
        <f>HYPERLINK("https%3A%2F%2Fwww.webofscience.com%2Fwos%2Fwoscc%2Ffull-record%2FWOS:000168538000009","View Full Record in Web of Science")</f>
        <v>View Full Record in Web of Science</v>
      </c>
    </row>
    <row r="621" spans="1:72" x14ac:dyDescent="0.15">
      <c r="A621" t="s">
        <v>72</v>
      </c>
      <c r="B621" t="s">
        <v>8469</v>
      </c>
      <c r="C621" t="s">
        <v>74</v>
      </c>
      <c r="D621" t="s">
        <v>74</v>
      </c>
      <c r="E621" t="s">
        <v>74</v>
      </c>
      <c r="F621" t="s">
        <v>8469</v>
      </c>
      <c r="G621" t="s">
        <v>74</v>
      </c>
      <c r="H621" t="s">
        <v>74</v>
      </c>
      <c r="I621" t="s">
        <v>8470</v>
      </c>
      <c r="J621" t="s">
        <v>8471</v>
      </c>
      <c r="K621" t="s">
        <v>74</v>
      </c>
      <c r="L621" t="s">
        <v>74</v>
      </c>
      <c r="M621" t="s">
        <v>77</v>
      </c>
      <c r="N621" t="s">
        <v>120</v>
      </c>
      <c r="O621" t="s">
        <v>74</v>
      </c>
      <c r="P621" t="s">
        <v>74</v>
      </c>
      <c r="Q621" t="s">
        <v>74</v>
      </c>
      <c r="R621" t="s">
        <v>74</v>
      </c>
      <c r="S621" t="s">
        <v>74</v>
      </c>
      <c r="T621" t="s">
        <v>8472</v>
      </c>
      <c r="U621" t="s">
        <v>8473</v>
      </c>
      <c r="V621" t="s">
        <v>8474</v>
      </c>
      <c r="W621" t="s">
        <v>8475</v>
      </c>
      <c r="X621" t="s">
        <v>8476</v>
      </c>
      <c r="Y621" t="s">
        <v>8477</v>
      </c>
      <c r="Z621" t="s">
        <v>74</v>
      </c>
      <c r="AA621" t="s">
        <v>74</v>
      </c>
      <c r="AB621" t="s">
        <v>8478</v>
      </c>
      <c r="AC621" t="s">
        <v>74</v>
      </c>
      <c r="AD621" t="s">
        <v>74</v>
      </c>
      <c r="AE621" t="s">
        <v>74</v>
      </c>
      <c r="AF621" t="s">
        <v>74</v>
      </c>
      <c r="AG621">
        <v>51</v>
      </c>
      <c r="AH621">
        <v>49</v>
      </c>
      <c r="AI621">
        <v>52</v>
      </c>
      <c r="AJ621">
        <v>0</v>
      </c>
      <c r="AK621">
        <v>30</v>
      </c>
      <c r="AL621" t="s">
        <v>3761</v>
      </c>
      <c r="AM621" t="s">
        <v>5209</v>
      </c>
      <c r="AN621" t="s">
        <v>8479</v>
      </c>
      <c r="AO621" t="s">
        <v>8480</v>
      </c>
      <c r="AP621" t="s">
        <v>74</v>
      </c>
      <c r="AQ621" t="s">
        <v>74</v>
      </c>
      <c r="AR621" t="s">
        <v>8481</v>
      </c>
      <c r="AS621" t="s">
        <v>8482</v>
      </c>
      <c r="AT621" t="s">
        <v>7982</v>
      </c>
      <c r="AU621">
        <v>2001</v>
      </c>
      <c r="AV621">
        <v>16</v>
      </c>
      <c r="AW621">
        <v>4</v>
      </c>
      <c r="AX621" t="s">
        <v>74</v>
      </c>
      <c r="AY621" t="s">
        <v>74</v>
      </c>
      <c r="AZ621" t="s">
        <v>74</v>
      </c>
      <c r="BA621" t="s">
        <v>74</v>
      </c>
      <c r="BB621">
        <v>321</v>
      </c>
      <c r="BC621">
        <v>328</v>
      </c>
      <c r="BD621" t="s">
        <v>74</v>
      </c>
      <c r="BE621" t="s">
        <v>8483</v>
      </c>
      <c r="BF621" t="str">
        <f>HYPERLINK("http://dx.doi.org/10.1002/jqs.595","http://dx.doi.org/10.1002/jqs.595")</f>
        <v>http://dx.doi.org/10.1002/jqs.595</v>
      </c>
      <c r="BG621" t="s">
        <v>74</v>
      </c>
      <c r="BH621" t="s">
        <v>74</v>
      </c>
      <c r="BI621">
        <v>8</v>
      </c>
      <c r="BJ621" t="s">
        <v>1049</v>
      </c>
      <c r="BK621" t="s">
        <v>88</v>
      </c>
      <c r="BL621" t="s">
        <v>1050</v>
      </c>
      <c r="BM621" t="s">
        <v>8484</v>
      </c>
      <c r="BN621" t="s">
        <v>74</v>
      </c>
      <c r="BO621" t="s">
        <v>74</v>
      </c>
      <c r="BP621" t="s">
        <v>74</v>
      </c>
      <c r="BQ621" t="s">
        <v>74</v>
      </c>
      <c r="BR621" t="s">
        <v>91</v>
      </c>
      <c r="BS621" t="s">
        <v>8485</v>
      </c>
      <c r="BT621" t="str">
        <f>HYPERLINK("https%3A%2F%2Fwww.webofscience.com%2Fwos%2Fwoscc%2Ffull-record%2FWOS:000169009600004","View Full Record in Web of Science")</f>
        <v>View Full Record in Web of Science</v>
      </c>
    </row>
    <row r="622" spans="1:72" x14ac:dyDescent="0.15">
      <c r="A622" t="s">
        <v>72</v>
      </c>
      <c r="B622" t="s">
        <v>8486</v>
      </c>
      <c r="C622" t="s">
        <v>74</v>
      </c>
      <c r="D622" t="s">
        <v>74</v>
      </c>
      <c r="E622" t="s">
        <v>74</v>
      </c>
      <c r="F622" t="s">
        <v>8486</v>
      </c>
      <c r="G622" t="s">
        <v>74</v>
      </c>
      <c r="H622" t="s">
        <v>74</v>
      </c>
      <c r="I622" t="s">
        <v>8487</v>
      </c>
      <c r="J622" t="s">
        <v>8488</v>
      </c>
      <c r="K622" t="s">
        <v>74</v>
      </c>
      <c r="L622" t="s">
        <v>74</v>
      </c>
      <c r="M622" t="s">
        <v>77</v>
      </c>
      <c r="N622" t="s">
        <v>120</v>
      </c>
      <c r="O622" t="s">
        <v>74</v>
      </c>
      <c r="P622" t="s">
        <v>74</v>
      </c>
      <c r="Q622" t="s">
        <v>74</v>
      </c>
      <c r="R622" t="s">
        <v>74</v>
      </c>
      <c r="S622" t="s">
        <v>74</v>
      </c>
      <c r="T622" t="s">
        <v>8489</v>
      </c>
      <c r="U622" t="s">
        <v>8490</v>
      </c>
      <c r="V622" t="s">
        <v>8491</v>
      </c>
      <c r="W622" t="s">
        <v>8492</v>
      </c>
      <c r="X622" t="s">
        <v>8493</v>
      </c>
      <c r="Y622" t="s">
        <v>8494</v>
      </c>
      <c r="Z622" t="s">
        <v>74</v>
      </c>
      <c r="AA622" t="s">
        <v>8495</v>
      </c>
      <c r="AB622" t="s">
        <v>8496</v>
      </c>
      <c r="AC622" t="s">
        <v>74</v>
      </c>
      <c r="AD622" t="s">
        <v>74</v>
      </c>
      <c r="AE622" t="s">
        <v>74</v>
      </c>
      <c r="AF622" t="s">
        <v>74</v>
      </c>
      <c r="AG622">
        <v>38</v>
      </c>
      <c r="AH622">
        <v>20</v>
      </c>
      <c r="AI622">
        <v>24</v>
      </c>
      <c r="AJ622">
        <v>0</v>
      </c>
      <c r="AK622">
        <v>10</v>
      </c>
      <c r="AL622" t="s">
        <v>8497</v>
      </c>
      <c r="AM622" t="s">
        <v>8498</v>
      </c>
      <c r="AN622" t="s">
        <v>8499</v>
      </c>
      <c r="AO622" t="s">
        <v>8500</v>
      </c>
      <c r="AP622" t="s">
        <v>74</v>
      </c>
      <c r="AQ622" t="s">
        <v>74</v>
      </c>
      <c r="AR622" t="s">
        <v>8501</v>
      </c>
      <c r="AS622" t="s">
        <v>8502</v>
      </c>
      <c r="AT622" t="s">
        <v>7982</v>
      </c>
      <c r="AU622">
        <v>2001</v>
      </c>
      <c r="AV622">
        <v>54</v>
      </c>
      <c r="AW622">
        <v>3</v>
      </c>
      <c r="AX622" t="s">
        <v>74</v>
      </c>
      <c r="AY622" t="s">
        <v>74</v>
      </c>
      <c r="AZ622" t="s">
        <v>74</v>
      </c>
      <c r="BA622" t="s">
        <v>74</v>
      </c>
      <c r="BB622">
        <v>239</v>
      </c>
      <c r="BC622">
        <v>242</v>
      </c>
      <c r="BD622" t="s">
        <v>74</v>
      </c>
      <c r="BE622" t="s">
        <v>8503</v>
      </c>
      <c r="BF622" t="str">
        <f>HYPERLINK("http://dx.doi.org/10.2307/4003240","http://dx.doi.org/10.2307/4003240")</f>
        <v>http://dx.doi.org/10.2307/4003240</v>
      </c>
      <c r="BG622" t="s">
        <v>74</v>
      </c>
      <c r="BH622" t="s">
        <v>74</v>
      </c>
      <c r="BI622">
        <v>4</v>
      </c>
      <c r="BJ622" t="s">
        <v>8504</v>
      </c>
      <c r="BK622" t="s">
        <v>88</v>
      </c>
      <c r="BL622" t="s">
        <v>8505</v>
      </c>
      <c r="BM622" t="s">
        <v>8506</v>
      </c>
      <c r="BN622" t="s">
        <v>74</v>
      </c>
      <c r="BO622" t="s">
        <v>2390</v>
      </c>
      <c r="BP622" t="s">
        <v>74</v>
      </c>
      <c r="BQ622" t="s">
        <v>74</v>
      </c>
      <c r="BR622" t="s">
        <v>91</v>
      </c>
      <c r="BS622" t="s">
        <v>8507</v>
      </c>
      <c r="BT622" t="str">
        <f>HYPERLINK("https%3A%2F%2Fwww.webofscience.com%2Fwos%2Fwoscc%2Ffull-record%2FWOS:000168634000005","View Full Record in Web of Science")</f>
        <v>View Full Record in Web of Science</v>
      </c>
    </row>
    <row r="623" spans="1:72" x14ac:dyDescent="0.15">
      <c r="A623" t="s">
        <v>72</v>
      </c>
      <c r="B623" t="s">
        <v>8508</v>
      </c>
      <c r="C623" t="s">
        <v>74</v>
      </c>
      <c r="D623" t="s">
        <v>74</v>
      </c>
      <c r="E623" t="s">
        <v>74</v>
      </c>
      <c r="F623" t="s">
        <v>8508</v>
      </c>
      <c r="G623" t="s">
        <v>74</v>
      </c>
      <c r="H623" t="s">
        <v>74</v>
      </c>
      <c r="I623" t="s">
        <v>8509</v>
      </c>
      <c r="J623" t="s">
        <v>8510</v>
      </c>
      <c r="K623" t="s">
        <v>74</v>
      </c>
      <c r="L623" t="s">
        <v>74</v>
      </c>
      <c r="M623" t="s">
        <v>77</v>
      </c>
      <c r="N623" t="s">
        <v>120</v>
      </c>
      <c r="O623" t="s">
        <v>74</v>
      </c>
      <c r="P623" t="s">
        <v>74</v>
      </c>
      <c r="Q623" t="s">
        <v>74</v>
      </c>
      <c r="R623" t="s">
        <v>74</v>
      </c>
      <c r="S623" t="s">
        <v>74</v>
      </c>
      <c r="T623" t="s">
        <v>74</v>
      </c>
      <c r="U623" t="s">
        <v>8511</v>
      </c>
      <c r="V623" t="s">
        <v>8512</v>
      </c>
      <c r="W623" t="s">
        <v>8513</v>
      </c>
      <c r="X623" t="s">
        <v>8514</v>
      </c>
      <c r="Y623" t="s">
        <v>8515</v>
      </c>
      <c r="Z623" t="s">
        <v>74</v>
      </c>
      <c r="AA623" t="s">
        <v>74</v>
      </c>
      <c r="AB623" t="s">
        <v>74</v>
      </c>
      <c r="AC623" t="s">
        <v>74</v>
      </c>
      <c r="AD623" t="s">
        <v>74</v>
      </c>
      <c r="AE623" t="s">
        <v>74</v>
      </c>
      <c r="AF623" t="s">
        <v>74</v>
      </c>
      <c r="AG623">
        <v>26</v>
      </c>
      <c r="AH623">
        <v>17</v>
      </c>
      <c r="AI623">
        <v>18</v>
      </c>
      <c r="AJ623">
        <v>3</v>
      </c>
      <c r="AK623">
        <v>6</v>
      </c>
      <c r="AL623" t="s">
        <v>3914</v>
      </c>
      <c r="AM623" t="s">
        <v>3915</v>
      </c>
      <c r="AN623" t="s">
        <v>3916</v>
      </c>
      <c r="AO623" t="s">
        <v>8516</v>
      </c>
      <c r="AP623" t="s">
        <v>74</v>
      </c>
      <c r="AQ623" t="s">
        <v>74</v>
      </c>
      <c r="AR623" t="s">
        <v>8517</v>
      </c>
      <c r="AS623" t="s">
        <v>8518</v>
      </c>
      <c r="AT623" t="s">
        <v>7982</v>
      </c>
      <c r="AU623">
        <v>2001</v>
      </c>
      <c r="AV623">
        <v>58</v>
      </c>
      <c r="AW623">
        <v>10</v>
      </c>
      <c r="AX623" t="s">
        <v>74</v>
      </c>
      <c r="AY623" t="s">
        <v>74</v>
      </c>
      <c r="AZ623" t="s">
        <v>74</v>
      </c>
      <c r="BA623" t="s">
        <v>74</v>
      </c>
      <c r="BB623">
        <v>1300</v>
      </c>
      <c r="BC623">
        <v>1309</v>
      </c>
      <c r="BD623" t="s">
        <v>74</v>
      </c>
      <c r="BE623" t="s">
        <v>8519</v>
      </c>
      <c r="BF623" t="str">
        <f>HYPERLINK("http://dx.doi.org/10.1175/1520-0469(2001)058&lt;1300:RIOAOT&gt;2.0.CO;2","http://dx.doi.org/10.1175/1520-0469(2001)058&lt;1300:RIOAOT&gt;2.0.CO;2")</f>
        <v>http://dx.doi.org/10.1175/1520-0469(2001)058&lt;1300:RIOAOT&gt;2.0.CO;2</v>
      </c>
      <c r="BG623" t="s">
        <v>74</v>
      </c>
      <c r="BH623" t="s">
        <v>74</v>
      </c>
      <c r="BI623">
        <v>10</v>
      </c>
      <c r="BJ623" t="s">
        <v>538</v>
      </c>
      <c r="BK623" t="s">
        <v>88</v>
      </c>
      <c r="BL623" t="s">
        <v>538</v>
      </c>
      <c r="BM623" t="s">
        <v>8520</v>
      </c>
      <c r="BN623" t="s">
        <v>74</v>
      </c>
      <c r="BO623" t="s">
        <v>359</v>
      </c>
      <c r="BP623" t="s">
        <v>74</v>
      </c>
      <c r="BQ623" t="s">
        <v>74</v>
      </c>
      <c r="BR623" t="s">
        <v>91</v>
      </c>
      <c r="BS623" t="s">
        <v>8521</v>
      </c>
      <c r="BT623" t="str">
        <f>HYPERLINK("https%3A%2F%2Fwww.webofscience.com%2Fwos%2Fwoscc%2Ffull-record%2FWOS:000168562700007","View Full Record in Web of Science")</f>
        <v>View Full Record in Web of Science</v>
      </c>
    </row>
    <row r="624" spans="1:72" x14ac:dyDescent="0.15">
      <c r="A624" t="s">
        <v>72</v>
      </c>
      <c r="B624" t="s">
        <v>8522</v>
      </c>
      <c r="C624" t="s">
        <v>74</v>
      </c>
      <c r="D624" t="s">
        <v>74</v>
      </c>
      <c r="E624" t="s">
        <v>74</v>
      </c>
      <c r="F624" t="s">
        <v>8522</v>
      </c>
      <c r="G624" t="s">
        <v>74</v>
      </c>
      <c r="H624" t="s">
        <v>74</v>
      </c>
      <c r="I624" t="s">
        <v>8523</v>
      </c>
      <c r="J624" t="s">
        <v>8524</v>
      </c>
      <c r="K624" t="s">
        <v>74</v>
      </c>
      <c r="L624" t="s">
        <v>74</v>
      </c>
      <c r="M624" t="s">
        <v>77</v>
      </c>
      <c r="N624" t="s">
        <v>120</v>
      </c>
      <c r="O624" t="s">
        <v>74</v>
      </c>
      <c r="P624" t="s">
        <v>74</v>
      </c>
      <c r="Q624" t="s">
        <v>74</v>
      </c>
      <c r="R624" t="s">
        <v>74</v>
      </c>
      <c r="S624" t="s">
        <v>74</v>
      </c>
      <c r="T624" t="s">
        <v>74</v>
      </c>
      <c r="U624" t="s">
        <v>8525</v>
      </c>
      <c r="V624" t="s">
        <v>8526</v>
      </c>
      <c r="W624" t="s">
        <v>8527</v>
      </c>
      <c r="X624" t="s">
        <v>8528</v>
      </c>
      <c r="Y624" t="s">
        <v>8529</v>
      </c>
      <c r="Z624" t="s">
        <v>74</v>
      </c>
      <c r="AA624" t="s">
        <v>8530</v>
      </c>
      <c r="AB624" t="s">
        <v>8531</v>
      </c>
      <c r="AC624" t="s">
        <v>74</v>
      </c>
      <c r="AD624" t="s">
        <v>74</v>
      </c>
      <c r="AE624" t="s">
        <v>74</v>
      </c>
      <c r="AF624" t="s">
        <v>74</v>
      </c>
      <c r="AG624">
        <v>39</v>
      </c>
      <c r="AH624">
        <v>78</v>
      </c>
      <c r="AI624">
        <v>93</v>
      </c>
      <c r="AJ624">
        <v>1</v>
      </c>
      <c r="AK624">
        <v>7</v>
      </c>
      <c r="AL624" t="s">
        <v>753</v>
      </c>
      <c r="AM624" t="s">
        <v>150</v>
      </c>
      <c r="AN624" t="s">
        <v>754</v>
      </c>
      <c r="AO624" t="s">
        <v>8532</v>
      </c>
      <c r="AP624" t="s">
        <v>74</v>
      </c>
      <c r="AQ624" t="s">
        <v>74</v>
      </c>
      <c r="AR624" t="s">
        <v>8533</v>
      </c>
      <c r="AS624" t="s">
        <v>8534</v>
      </c>
      <c r="AT624" t="s">
        <v>7982</v>
      </c>
      <c r="AU624">
        <v>2001</v>
      </c>
      <c r="AV624">
        <v>75</v>
      </c>
      <c r="AW624">
        <v>9</v>
      </c>
      <c r="AX624" t="s">
        <v>74</v>
      </c>
      <c r="AY624" t="s">
        <v>74</v>
      </c>
      <c r="AZ624" t="s">
        <v>74</v>
      </c>
      <c r="BA624" t="s">
        <v>74</v>
      </c>
      <c r="BB624">
        <v>4103</v>
      </c>
      <c r="BC624">
        <v>4109</v>
      </c>
      <c r="BD624" t="s">
        <v>74</v>
      </c>
      <c r="BE624" t="s">
        <v>8535</v>
      </c>
      <c r="BF624" t="str">
        <f>HYPERLINK("http://dx.doi.org/10.1128/JVI.75.9.4103-4109.2001","http://dx.doi.org/10.1128/JVI.75.9.4103-4109.2001")</f>
        <v>http://dx.doi.org/10.1128/JVI.75.9.4103-4109.2001</v>
      </c>
      <c r="BG624" t="s">
        <v>74</v>
      </c>
      <c r="BH624" t="s">
        <v>74</v>
      </c>
      <c r="BI624">
        <v>7</v>
      </c>
      <c r="BJ624" t="s">
        <v>8536</v>
      </c>
      <c r="BK624" t="s">
        <v>88</v>
      </c>
      <c r="BL624" t="s">
        <v>8536</v>
      </c>
      <c r="BM624" t="s">
        <v>8537</v>
      </c>
      <c r="BN624">
        <v>11287559</v>
      </c>
      <c r="BO624" t="s">
        <v>761</v>
      </c>
      <c r="BP624" t="s">
        <v>74</v>
      </c>
      <c r="BQ624" t="s">
        <v>74</v>
      </c>
      <c r="BR624" t="s">
        <v>91</v>
      </c>
      <c r="BS624" t="s">
        <v>8538</v>
      </c>
      <c r="BT624" t="str">
        <f>HYPERLINK("https%3A%2F%2Fwww.webofscience.com%2Fwos%2Fwoscc%2Ffull-record%2FWOS:000168072900009","View Full Record in Web of Science")</f>
        <v>View Full Record in Web of Science</v>
      </c>
    </row>
    <row r="625" spans="1:72" x14ac:dyDescent="0.15">
      <c r="A625" t="s">
        <v>72</v>
      </c>
      <c r="B625" t="s">
        <v>8539</v>
      </c>
      <c r="C625" t="s">
        <v>74</v>
      </c>
      <c r="D625" t="s">
        <v>74</v>
      </c>
      <c r="E625" t="s">
        <v>74</v>
      </c>
      <c r="F625" t="s">
        <v>8539</v>
      </c>
      <c r="G625" t="s">
        <v>74</v>
      </c>
      <c r="H625" t="s">
        <v>74</v>
      </c>
      <c r="I625" t="s">
        <v>8540</v>
      </c>
      <c r="J625" t="s">
        <v>6197</v>
      </c>
      <c r="K625" t="s">
        <v>74</v>
      </c>
      <c r="L625" t="s">
        <v>74</v>
      </c>
      <c r="M625" t="s">
        <v>77</v>
      </c>
      <c r="N625" t="s">
        <v>120</v>
      </c>
      <c r="O625" t="s">
        <v>74</v>
      </c>
      <c r="P625" t="s">
        <v>74</v>
      </c>
      <c r="Q625" t="s">
        <v>74</v>
      </c>
      <c r="R625" t="s">
        <v>74</v>
      </c>
      <c r="S625" t="s">
        <v>74</v>
      </c>
      <c r="T625" t="s">
        <v>74</v>
      </c>
      <c r="U625" t="s">
        <v>8541</v>
      </c>
      <c r="V625" t="s">
        <v>8542</v>
      </c>
      <c r="W625" t="s">
        <v>3832</v>
      </c>
      <c r="X625" t="s">
        <v>3833</v>
      </c>
      <c r="Y625" t="s">
        <v>3834</v>
      </c>
      <c r="Z625" t="s">
        <v>74</v>
      </c>
      <c r="AA625" t="s">
        <v>8543</v>
      </c>
      <c r="AB625" t="s">
        <v>6385</v>
      </c>
      <c r="AC625" t="s">
        <v>74</v>
      </c>
      <c r="AD625" t="s">
        <v>74</v>
      </c>
      <c r="AE625" t="s">
        <v>74</v>
      </c>
      <c r="AF625" t="s">
        <v>74</v>
      </c>
      <c r="AG625">
        <v>49</v>
      </c>
      <c r="AH625">
        <v>41</v>
      </c>
      <c r="AI625">
        <v>45</v>
      </c>
      <c r="AJ625">
        <v>0</v>
      </c>
      <c r="AK625">
        <v>0</v>
      </c>
      <c r="AL625" t="s">
        <v>8544</v>
      </c>
      <c r="AM625" t="s">
        <v>8545</v>
      </c>
      <c r="AN625" t="s">
        <v>8546</v>
      </c>
      <c r="AO625" t="s">
        <v>6205</v>
      </c>
      <c r="AP625" t="s">
        <v>74</v>
      </c>
      <c r="AQ625" t="s">
        <v>74</v>
      </c>
      <c r="AR625" t="s">
        <v>6207</v>
      </c>
      <c r="AS625" t="s">
        <v>6208</v>
      </c>
      <c r="AT625" t="s">
        <v>7982</v>
      </c>
      <c r="AU625">
        <v>2001</v>
      </c>
      <c r="AV625">
        <v>46</v>
      </c>
      <c r="AW625">
        <v>3</v>
      </c>
      <c r="AX625" t="s">
        <v>74</v>
      </c>
      <c r="AY625" t="s">
        <v>74</v>
      </c>
      <c r="AZ625" t="s">
        <v>74</v>
      </c>
      <c r="BA625" t="s">
        <v>74</v>
      </c>
      <c r="BB625">
        <v>592</v>
      </c>
      <c r="BC625">
        <v>603</v>
      </c>
      <c r="BD625" t="s">
        <v>74</v>
      </c>
      <c r="BE625" t="s">
        <v>8547</v>
      </c>
      <c r="BF625" t="str">
        <f>HYPERLINK("http://dx.doi.org/10.4319/lo.2001.46.3.0592","http://dx.doi.org/10.4319/lo.2001.46.3.0592")</f>
        <v>http://dx.doi.org/10.4319/lo.2001.46.3.0592</v>
      </c>
      <c r="BG625" t="s">
        <v>74</v>
      </c>
      <c r="BH625" t="s">
        <v>74</v>
      </c>
      <c r="BI625">
        <v>12</v>
      </c>
      <c r="BJ625" t="s">
        <v>6210</v>
      </c>
      <c r="BK625" t="s">
        <v>88</v>
      </c>
      <c r="BL625" t="s">
        <v>2574</v>
      </c>
      <c r="BM625" t="s">
        <v>8548</v>
      </c>
      <c r="BN625" t="s">
        <v>74</v>
      </c>
      <c r="BO625" t="s">
        <v>171</v>
      </c>
      <c r="BP625" t="s">
        <v>74</v>
      </c>
      <c r="BQ625" t="s">
        <v>74</v>
      </c>
      <c r="BR625" t="s">
        <v>91</v>
      </c>
      <c r="BS625" t="s">
        <v>8549</v>
      </c>
      <c r="BT625" t="str">
        <f>HYPERLINK("https%3A%2F%2Fwww.webofscience.com%2Fwos%2Fwoscc%2Ffull-record%2FWOS:000168511500012","View Full Record in Web of Science")</f>
        <v>View Full Record in Web of Science</v>
      </c>
    </row>
    <row r="626" spans="1:72" x14ac:dyDescent="0.15">
      <c r="A626" t="s">
        <v>72</v>
      </c>
      <c r="B626" t="s">
        <v>8550</v>
      </c>
      <c r="C626" t="s">
        <v>74</v>
      </c>
      <c r="D626" t="s">
        <v>74</v>
      </c>
      <c r="E626" t="s">
        <v>74</v>
      </c>
      <c r="F626" t="s">
        <v>8550</v>
      </c>
      <c r="G626" t="s">
        <v>74</v>
      </c>
      <c r="H626" t="s">
        <v>74</v>
      </c>
      <c r="I626" t="s">
        <v>8551</v>
      </c>
      <c r="J626" t="s">
        <v>8552</v>
      </c>
      <c r="K626" t="s">
        <v>74</v>
      </c>
      <c r="L626" t="s">
        <v>74</v>
      </c>
      <c r="M626" t="s">
        <v>77</v>
      </c>
      <c r="N626" t="s">
        <v>120</v>
      </c>
      <c r="O626" t="s">
        <v>74</v>
      </c>
      <c r="P626" t="s">
        <v>74</v>
      </c>
      <c r="Q626" t="s">
        <v>74</v>
      </c>
      <c r="R626" t="s">
        <v>74</v>
      </c>
      <c r="S626" t="s">
        <v>74</v>
      </c>
      <c r="T626" t="s">
        <v>8553</v>
      </c>
      <c r="U626" t="s">
        <v>74</v>
      </c>
      <c r="V626" t="s">
        <v>8554</v>
      </c>
      <c r="W626" t="s">
        <v>8555</v>
      </c>
      <c r="X626" t="s">
        <v>8556</v>
      </c>
      <c r="Y626" t="s">
        <v>8557</v>
      </c>
      <c r="Z626" t="s">
        <v>74</v>
      </c>
      <c r="AA626" t="s">
        <v>74</v>
      </c>
      <c r="AB626" t="s">
        <v>74</v>
      </c>
      <c r="AC626" t="s">
        <v>74</v>
      </c>
      <c r="AD626" t="s">
        <v>74</v>
      </c>
      <c r="AE626" t="s">
        <v>74</v>
      </c>
      <c r="AF626" t="s">
        <v>74</v>
      </c>
      <c r="AG626">
        <v>57</v>
      </c>
      <c r="AH626">
        <v>10</v>
      </c>
      <c r="AI626">
        <v>10</v>
      </c>
      <c r="AJ626">
        <v>0</v>
      </c>
      <c r="AK626">
        <v>2</v>
      </c>
      <c r="AL626" t="s">
        <v>8558</v>
      </c>
      <c r="AM626" t="s">
        <v>8559</v>
      </c>
      <c r="AN626" t="s">
        <v>8560</v>
      </c>
      <c r="AO626" t="s">
        <v>8561</v>
      </c>
      <c r="AP626" t="s">
        <v>74</v>
      </c>
      <c r="AQ626" t="s">
        <v>74</v>
      </c>
      <c r="AR626" t="s">
        <v>8562</v>
      </c>
      <c r="AS626" t="s">
        <v>8563</v>
      </c>
      <c r="AT626" t="s">
        <v>7982</v>
      </c>
      <c r="AU626">
        <v>2001</v>
      </c>
      <c r="AV626">
        <v>22</v>
      </c>
      <c r="AW626" t="s">
        <v>495</v>
      </c>
      <c r="AX626" t="s">
        <v>74</v>
      </c>
      <c r="AY626" t="s">
        <v>74</v>
      </c>
      <c r="AZ626" t="s">
        <v>74</v>
      </c>
      <c r="BA626" t="s">
        <v>74</v>
      </c>
      <c r="BB626">
        <v>53</v>
      </c>
      <c r="BC626">
        <v>70</v>
      </c>
      <c r="BD626" t="s">
        <v>74</v>
      </c>
      <c r="BE626" t="s">
        <v>8564</v>
      </c>
      <c r="BF626" t="str">
        <f>HYPERLINK("http://dx.doi.org/10.1046/j.1439-0485.2001.00742.x","http://dx.doi.org/10.1046/j.1439-0485.2001.00742.x")</f>
        <v>http://dx.doi.org/10.1046/j.1439-0485.2001.00742.x</v>
      </c>
      <c r="BG626" t="s">
        <v>74</v>
      </c>
      <c r="BH626" t="s">
        <v>74</v>
      </c>
      <c r="BI626">
        <v>18</v>
      </c>
      <c r="BJ626" t="s">
        <v>323</v>
      </c>
      <c r="BK626" t="s">
        <v>88</v>
      </c>
      <c r="BL626" t="s">
        <v>323</v>
      </c>
      <c r="BM626" t="s">
        <v>8565</v>
      </c>
      <c r="BN626" t="s">
        <v>74</v>
      </c>
      <c r="BO626" t="s">
        <v>74</v>
      </c>
      <c r="BP626" t="s">
        <v>74</v>
      </c>
      <c r="BQ626" t="s">
        <v>74</v>
      </c>
      <c r="BR626" t="s">
        <v>91</v>
      </c>
      <c r="BS626" t="s">
        <v>8566</v>
      </c>
      <c r="BT626" t="str">
        <f>HYPERLINK("https%3A%2F%2Fwww.webofscience.com%2Fwos%2Fwoscc%2Ffull-record%2FWOS:000169683200006","View Full Record in Web of Science")</f>
        <v>View Full Record in Web of Science</v>
      </c>
    </row>
    <row r="627" spans="1:72" x14ac:dyDescent="0.15">
      <c r="A627" t="s">
        <v>72</v>
      </c>
      <c r="B627" t="s">
        <v>8567</v>
      </c>
      <c r="C627" t="s">
        <v>74</v>
      </c>
      <c r="D627" t="s">
        <v>74</v>
      </c>
      <c r="E627" t="s">
        <v>74</v>
      </c>
      <c r="F627" t="s">
        <v>8567</v>
      </c>
      <c r="G627" t="s">
        <v>74</v>
      </c>
      <c r="H627" t="s">
        <v>74</v>
      </c>
      <c r="I627" t="s">
        <v>8568</v>
      </c>
      <c r="J627" t="s">
        <v>1487</v>
      </c>
      <c r="K627" t="s">
        <v>74</v>
      </c>
      <c r="L627" t="s">
        <v>74</v>
      </c>
      <c r="M627" t="s">
        <v>77</v>
      </c>
      <c r="N627" t="s">
        <v>120</v>
      </c>
      <c r="O627" t="s">
        <v>74</v>
      </c>
      <c r="P627" t="s">
        <v>74</v>
      </c>
      <c r="Q627" t="s">
        <v>74</v>
      </c>
      <c r="R627" t="s">
        <v>74</v>
      </c>
      <c r="S627" t="s">
        <v>74</v>
      </c>
      <c r="T627" t="s">
        <v>8569</v>
      </c>
      <c r="U627" t="s">
        <v>737</v>
      </c>
      <c r="V627" t="s">
        <v>8570</v>
      </c>
      <c r="W627" t="s">
        <v>8571</v>
      </c>
      <c r="X627" t="s">
        <v>8572</v>
      </c>
      <c r="Y627" t="s">
        <v>8573</v>
      </c>
      <c r="Z627" t="s">
        <v>74</v>
      </c>
      <c r="AA627" t="s">
        <v>8574</v>
      </c>
      <c r="AB627" t="s">
        <v>8575</v>
      </c>
      <c r="AC627" t="s">
        <v>74</v>
      </c>
      <c r="AD627" t="s">
        <v>74</v>
      </c>
      <c r="AE627" t="s">
        <v>74</v>
      </c>
      <c r="AF627" t="s">
        <v>74</v>
      </c>
      <c r="AG627">
        <v>25</v>
      </c>
      <c r="AH627">
        <v>33</v>
      </c>
      <c r="AI627">
        <v>40</v>
      </c>
      <c r="AJ627">
        <v>1</v>
      </c>
      <c r="AK627">
        <v>19</v>
      </c>
      <c r="AL627" t="s">
        <v>8576</v>
      </c>
      <c r="AM627" t="s">
        <v>204</v>
      </c>
      <c r="AN627" t="s">
        <v>8577</v>
      </c>
      <c r="AO627" t="s">
        <v>1496</v>
      </c>
      <c r="AP627" t="s">
        <v>74</v>
      </c>
      <c r="AQ627" t="s">
        <v>74</v>
      </c>
      <c r="AR627" t="s">
        <v>1498</v>
      </c>
      <c r="AS627" t="s">
        <v>1196</v>
      </c>
      <c r="AT627" t="s">
        <v>8195</v>
      </c>
      <c r="AU627">
        <v>2001</v>
      </c>
      <c r="AV627">
        <v>70</v>
      </c>
      <c r="AW627">
        <v>3</v>
      </c>
      <c r="AX627" t="s">
        <v>74</v>
      </c>
      <c r="AY627" t="s">
        <v>74</v>
      </c>
      <c r="AZ627" t="s">
        <v>74</v>
      </c>
      <c r="BA627" t="s">
        <v>74</v>
      </c>
      <c r="BB627">
        <v>356</v>
      </c>
      <c r="BC627">
        <v>364</v>
      </c>
      <c r="BD627" t="s">
        <v>74</v>
      </c>
      <c r="BE627" t="s">
        <v>8578</v>
      </c>
      <c r="BF627" t="str">
        <f>HYPERLINK("http://dx.doi.org/10.1023/A:1010419831245","http://dx.doi.org/10.1023/A:1010419831245")</f>
        <v>http://dx.doi.org/10.1023/A:1010419831245</v>
      </c>
      <c r="BG627" t="s">
        <v>74</v>
      </c>
      <c r="BH627" t="s">
        <v>74</v>
      </c>
      <c r="BI627">
        <v>9</v>
      </c>
      <c r="BJ627" t="s">
        <v>1196</v>
      </c>
      <c r="BK627" t="s">
        <v>88</v>
      </c>
      <c r="BL627" t="s">
        <v>1196</v>
      </c>
      <c r="BM627" t="s">
        <v>8579</v>
      </c>
      <c r="BN627" t="s">
        <v>74</v>
      </c>
      <c r="BO627" t="s">
        <v>74</v>
      </c>
      <c r="BP627" t="s">
        <v>74</v>
      </c>
      <c r="BQ627" t="s">
        <v>74</v>
      </c>
      <c r="BR627" t="s">
        <v>91</v>
      </c>
      <c r="BS627" t="s">
        <v>8580</v>
      </c>
      <c r="BT627" t="str">
        <f>HYPERLINK("https%3A%2F%2Fwww.webofscience.com%2Fwos%2Fwoscc%2Ffull-record%2FWOS:000169671800018","View Full Record in Web of Science")</f>
        <v>View Full Record in Web of Science</v>
      </c>
    </row>
    <row r="628" spans="1:72" x14ac:dyDescent="0.15">
      <c r="A628" t="s">
        <v>72</v>
      </c>
      <c r="B628" t="s">
        <v>8581</v>
      </c>
      <c r="C628" t="s">
        <v>74</v>
      </c>
      <c r="D628" t="s">
        <v>74</v>
      </c>
      <c r="E628" t="s">
        <v>74</v>
      </c>
      <c r="F628" t="s">
        <v>8581</v>
      </c>
      <c r="G628" t="s">
        <v>74</v>
      </c>
      <c r="H628" t="s">
        <v>74</v>
      </c>
      <c r="I628" t="s">
        <v>8582</v>
      </c>
      <c r="J628" t="s">
        <v>194</v>
      </c>
      <c r="K628" t="s">
        <v>74</v>
      </c>
      <c r="L628" t="s">
        <v>74</v>
      </c>
      <c r="M628" t="s">
        <v>77</v>
      </c>
      <c r="N628" t="s">
        <v>120</v>
      </c>
      <c r="O628" t="s">
        <v>74</v>
      </c>
      <c r="P628" t="s">
        <v>74</v>
      </c>
      <c r="Q628" t="s">
        <v>74</v>
      </c>
      <c r="R628" t="s">
        <v>74</v>
      </c>
      <c r="S628" t="s">
        <v>74</v>
      </c>
      <c r="T628" t="s">
        <v>74</v>
      </c>
      <c r="U628" t="s">
        <v>8583</v>
      </c>
      <c r="V628" t="s">
        <v>8584</v>
      </c>
      <c r="W628" t="s">
        <v>8585</v>
      </c>
      <c r="X628" t="s">
        <v>8586</v>
      </c>
      <c r="Y628" t="s">
        <v>8587</v>
      </c>
      <c r="Z628" t="s">
        <v>8588</v>
      </c>
      <c r="AA628" t="s">
        <v>74</v>
      </c>
      <c r="AB628" t="s">
        <v>74</v>
      </c>
      <c r="AC628" t="s">
        <v>74</v>
      </c>
      <c r="AD628" t="s">
        <v>74</v>
      </c>
      <c r="AE628" t="s">
        <v>74</v>
      </c>
      <c r="AF628" t="s">
        <v>74</v>
      </c>
      <c r="AG628">
        <v>30</v>
      </c>
      <c r="AH628">
        <v>72</v>
      </c>
      <c r="AI628">
        <v>83</v>
      </c>
      <c r="AJ628">
        <v>2</v>
      </c>
      <c r="AK628">
        <v>23</v>
      </c>
      <c r="AL628" t="s">
        <v>248</v>
      </c>
      <c r="AM628" t="s">
        <v>204</v>
      </c>
      <c r="AN628" t="s">
        <v>249</v>
      </c>
      <c r="AO628" t="s">
        <v>206</v>
      </c>
      <c r="AP628" t="s">
        <v>250</v>
      </c>
      <c r="AQ628" t="s">
        <v>74</v>
      </c>
      <c r="AR628" t="s">
        <v>207</v>
      </c>
      <c r="AS628" t="s">
        <v>208</v>
      </c>
      <c r="AT628" t="s">
        <v>7982</v>
      </c>
      <c r="AU628">
        <v>2001</v>
      </c>
      <c r="AV628">
        <v>24</v>
      </c>
      <c r="AW628">
        <v>5</v>
      </c>
      <c r="AX628" t="s">
        <v>74</v>
      </c>
      <c r="AY628" t="s">
        <v>74</v>
      </c>
      <c r="AZ628" t="s">
        <v>74</v>
      </c>
      <c r="BA628" t="s">
        <v>74</v>
      </c>
      <c r="BB628">
        <v>308</v>
      </c>
      <c r="BC628">
        <v>313</v>
      </c>
      <c r="BD628" t="s">
        <v>74</v>
      </c>
      <c r="BE628" t="s">
        <v>8589</v>
      </c>
      <c r="BF628" t="str">
        <f>HYPERLINK("http://dx.doi.org/10.1007/s003000000210","http://dx.doi.org/10.1007/s003000000210")</f>
        <v>http://dx.doi.org/10.1007/s003000000210</v>
      </c>
      <c r="BG628" t="s">
        <v>74</v>
      </c>
      <c r="BH628" t="s">
        <v>74</v>
      </c>
      <c r="BI628">
        <v>6</v>
      </c>
      <c r="BJ628" t="s">
        <v>209</v>
      </c>
      <c r="BK628" t="s">
        <v>88</v>
      </c>
      <c r="BL628" t="s">
        <v>210</v>
      </c>
      <c r="BM628" t="s">
        <v>8590</v>
      </c>
      <c r="BN628" t="s">
        <v>74</v>
      </c>
      <c r="BO628" t="s">
        <v>74</v>
      </c>
      <c r="BP628" t="s">
        <v>74</v>
      </c>
      <c r="BQ628" t="s">
        <v>74</v>
      </c>
      <c r="BR628" t="s">
        <v>91</v>
      </c>
      <c r="BS628" t="s">
        <v>8591</v>
      </c>
      <c r="BT628" t="str">
        <f>HYPERLINK("https%3A%2F%2Fwww.webofscience.com%2Fwos%2Fwoscc%2Ffull-record%2FWOS:000168622700002","View Full Record in Web of Science")</f>
        <v>View Full Record in Web of Science</v>
      </c>
    </row>
    <row r="629" spans="1:72" x14ac:dyDescent="0.15">
      <c r="A629" t="s">
        <v>72</v>
      </c>
      <c r="B629" t="s">
        <v>8592</v>
      </c>
      <c r="C629" t="s">
        <v>74</v>
      </c>
      <c r="D629" t="s">
        <v>74</v>
      </c>
      <c r="E629" t="s">
        <v>74</v>
      </c>
      <c r="F629" t="s">
        <v>8592</v>
      </c>
      <c r="G629" t="s">
        <v>74</v>
      </c>
      <c r="H629" t="s">
        <v>74</v>
      </c>
      <c r="I629" t="s">
        <v>8593</v>
      </c>
      <c r="J629" t="s">
        <v>194</v>
      </c>
      <c r="K629" t="s">
        <v>74</v>
      </c>
      <c r="L629" t="s">
        <v>74</v>
      </c>
      <c r="M629" t="s">
        <v>77</v>
      </c>
      <c r="N629" t="s">
        <v>120</v>
      </c>
      <c r="O629" t="s">
        <v>74</v>
      </c>
      <c r="P629" t="s">
        <v>74</v>
      </c>
      <c r="Q629" t="s">
        <v>74</v>
      </c>
      <c r="R629" t="s">
        <v>74</v>
      </c>
      <c r="S629" t="s">
        <v>74</v>
      </c>
      <c r="T629" t="s">
        <v>74</v>
      </c>
      <c r="U629" t="s">
        <v>8594</v>
      </c>
      <c r="V629" t="s">
        <v>8595</v>
      </c>
      <c r="W629" t="s">
        <v>8596</v>
      </c>
      <c r="X629" t="s">
        <v>8597</v>
      </c>
      <c r="Y629" t="s">
        <v>8598</v>
      </c>
      <c r="Z629" t="s">
        <v>74</v>
      </c>
      <c r="AA629" t="s">
        <v>8599</v>
      </c>
      <c r="AB629" t="s">
        <v>8600</v>
      </c>
      <c r="AC629" t="s">
        <v>74</v>
      </c>
      <c r="AD629" t="s">
        <v>74</v>
      </c>
      <c r="AE629" t="s">
        <v>74</v>
      </c>
      <c r="AF629" t="s">
        <v>74</v>
      </c>
      <c r="AG629">
        <v>35</v>
      </c>
      <c r="AH629">
        <v>41</v>
      </c>
      <c r="AI629">
        <v>45</v>
      </c>
      <c r="AJ629">
        <v>0</v>
      </c>
      <c r="AK629">
        <v>14</v>
      </c>
      <c r="AL629" t="s">
        <v>203</v>
      </c>
      <c r="AM629" t="s">
        <v>204</v>
      </c>
      <c r="AN629" t="s">
        <v>205</v>
      </c>
      <c r="AO629" t="s">
        <v>206</v>
      </c>
      <c r="AP629" t="s">
        <v>74</v>
      </c>
      <c r="AQ629" t="s">
        <v>74</v>
      </c>
      <c r="AR629" t="s">
        <v>207</v>
      </c>
      <c r="AS629" t="s">
        <v>208</v>
      </c>
      <c r="AT629" t="s">
        <v>7982</v>
      </c>
      <c r="AU629">
        <v>2001</v>
      </c>
      <c r="AV629">
        <v>24</v>
      </c>
      <c r="AW629">
        <v>5</v>
      </c>
      <c r="AX629" t="s">
        <v>74</v>
      </c>
      <c r="AY629" t="s">
        <v>74</v>
      </c>
      <c r="AZ629" t="s">
        <v>74</v>
      </c>
      <c r="BA629" t="s">
        <v>74</v>
      </c>
      <c r="BB629">
        <v>328</v>
      </c>
      <c r="BC629">
        <v>337</v>
      </c>
      <c r="BD629" t="s">
        <v>74</v>
      </c>
      <c r="BE629" t="s">
        <v>8601</v>
      </c>
      <c r="BF629" t="str">
        <f>HYPERLINK("http://dx.doi.org/10.1007/s003000000215","http://dx.doi.org/10.1007/s003000000215")</f>
        <v>http://dx.doi.org/10.1007/s003000000215</v>
      </c>
      <c r="BG629" t="s">
        <v>74</v>
      </c>
      <c r="BH629" t="s">
        <v>74</v>
      </c>
      <c r="BI629">
        <v>10</v>
      </c>
      <c r="BJ629" t="s">
        <v>209</v>
      </c>
      <c r="BK629" t="s">
        <v>88</v>
      </c>
      <c r="BL629" t="s">
        <v>210</v>
      </c>
      <c r="BM629" t="s">
        <v>8590</v>
      </c>
      <c r="BN629" t="s">
        <v>74</v>
      </c>
      <c r="BO629" t="s">
        <v>74</v>
      </c>
      <c r="BP629" t="s">
        <v>74</v>
      </c>
      <c r="BQ629" t="s">
        <v>74</v>
      </c>
      <c r="BR629" t="s">
        <v>91</v>
      </c>
      <c r="BS629" t="s">
        <v>8602</v>
      </c>
      <c r="BT629" t="str">
        <f>HYPERLINK("https%3A%2F%2Fwww.webofscience.com%2Fwos%2Fwoscc%2Ffull-record%2FWOS:000168622700005","View Full Record in Web of Science")</f>
        <v>View Full Record in Web of Science</v>
      </c>
    </row>
    <row r="630" spans="1:72" x14ac:dyDescent="0.15">
      <c r="A630" t="s">
        <v>72</v>
      </c>
      <c r="B630" t="s">
        <v>8603</v>
      </c>
      <c r="C630" t="s">
        <v>74</v>
      </c>
      <c r="D630" t="s">
        <v>74</v>
      </c>
      <c r="E630" t="s">
        <v>74</v>
      </c>
      <c r="F630" t="s">
        <v>8603</v>
      </c>
      <c r="G630" t="s">
        <v>74</v>
      </c>
      <c r="H630" t="s">
        <v>74</v>
      </c>
      <c r="I630" t="s">
        <v>8604</v>
      </c>
      <c r="J630" t="s">
        <v>194</v>
      </c>
      <c r="K630" t="s">
        <v>74</v>
      </c>
      <c r="L630" t="s">
        <v>74</v>
      </c>
      <c r="M630" t="s">
        <v>77</v>
      </c>
      <c r="N630" t="s">
        <v>120</v>
      </c>
      <c r="O630" t="s">
        <v>74</v>
      </c>
      <c r="P630" t="s">
        <v>74</v>
      </c>
      <c r="Q630" t="s">
        <v>74</v>
      </c>
      <c r="R630" t="s">
        <v>74</v>
      </c>
      <c r="S630" t="s">
        <v>74</v>
      </c>
      <c r="T630" t="s">
        <v>74</v>
      </c>
      <c r="U630" t="s">
        <v>8605</v>
      </c>
      <c r="V630" t="s">
        <v>8606</v>
      </c>
      <c r="W630" t="s">
        <v>8607</v>
      </c>
      <c r="X630" t="s">
        <v>2657</v>
      </c>
      <c r="Y630" t="s">
        <v>8608</v>
      </c>
      <c r="Z630" t="s">
        <v>74</v>
      </c>
      <c r="AA630" t="s">
        <v>8609</v>
      </c>
      <c r="AB630" t="s">
        <v>8610</v>
      </c>
      <c r="AC630" t="s">
        <v>74</v>
      </c>
      <c r="AD630" t="s">
        <v>74</v>
      </c>
      <c r="AE630" t="s">
        <v>74</v>
      </c>
      <c r="AF630" t="s">
        <v>74</v>
      </c>
      <c r="AG630">
        <v>54</v>
      </c>
      <c r="AH630">
        <v>46</v>
      </c>
      <c r="AI630">
        <v>52</v>
      </c>
      <c r="AJ630">
        <v>0</v>
      </c>
      <c r="AK630">
        <v>18</v>
      </c>
      <c r="AL630" t="s">
        <v>203</v>
      </c>
      <c r="AM630" t="s">
        <v>204</v>
      </c>
      <c r="AN630" t="s">
        <v>205</v>
      </c>
      <c r="AO630" t="s">
        <v>206</v>
      </c>
      <c r="AP630" t="s">
        <v>74</v>
      </c>
      <c r="AQ630" t="s">
        <v>74</v>
      </c>
      <c r="AR630" t="s">
        <v>207</v>
      </c>
      <c r="AS630" t="s">
        <v>208</v>
      </c>
      <c r="AT630" t="s">
        <v>7982</v>
      </c>
      <c r="AU630">
        <v>2001</v>
      </c>
      <c r="AV630">
        <v>24</v>
      </c>
      <c r="AW630">
        <v>5</v>
      </c>
      <c r="AX630" t="s">
        <v>74</v>
      </c>
      <c r="AY630" t="s">
        <v>74</v>
      </c>
      <c r="AZ630" t="s">
        <v>74</v>
      </c>
      <c r="BA630" t="s">
        <v>74</v>
      </c>
      <c r="BB630">
        <v>343</v>
      </c>
      <c r="BC630">
        <v>348</v>
      </c>
      <c r="BD630" t="s">
        <v>74</v>
      </c>
      <c r="BE630" t="s">
        <v>8611</v>
      </c>
      <c r="BF630" t="str">
        <f>HYPERLINK("http://dx.doi.org/10.1007/s003000000217","http://dx.doi.org/10.1007/s003000000217")</f>
        <v>http://dx.doi.org/10.1007/s003000000217</v>
      </c>
      <c r="BG630" t="s">
        <v>74</v>
      </c>
      <c r="BH630" t="s">
        <v>74</v>
      </c>
      <c r="BI630">
        <v>6</v>
      </c>
      <c r="BJ630" t="s">
        <v>209</v>
      </c>
      <c r="BK630" t="s">
        <v>88</v>
      </c>
      <c r="BL630" t="s">
        <v>210</v>
      </c>
      <c r="BM630" t="s">
        <v>8590</v>
      </c>
      <c r="BN630" t="s">
        <v>74</v>
      </c>
      <c r="BO630" t="s">
        <v>74</v>
      </c>
      <c r="BP630" t="s">
        <v>74</v>
      </c>
      <c r="BQ630" t="s">
        <v>74</v>
      </c>
      <c r="BR630" t="s">
        <v>91</v>
      </c>
      <c r="BS630" t="s">
        <v>8612</v>
      </c>
      <c r="BT630" t="str">
        <f>HYPERLINK("https%3A%2F%2Fwww.webofscience.com%2Fwos%2Fwoscc%2Ffull-record%2FWOS:000168622700007","View Full Record in Web of Science")</f>
        <v>View Full Record in Web of Science</v>
      </c>
    </row>
    <row r="631" spans="1:72" x14ac:dyDescent="0.15">
      <c r="A631" t="s">
        <v>72</v>
      </c>
      <c r="B631" t="s">
        <v>8613</v>
      </c>
      <c r="C631" t="s">
        <v>74</v>
      </c>
      <c r="D631" t="s">
        <v>74</v>
      </c>
      <c r="E631" t="s">
        <v>74</v>
      </c>
      <c r="F631" t="s">
        <v>8613</v>
      </c>
      <c r="G631" t="s">
        <v>74</v>
      </c>
      <c r="H631" t="s">
        <v>74</v>
      </c>
      <c r="I631" t="s">
        <v>8614</v>
      </c>
      <c r="J631" t="s">
        <v>194</v>
      </c>
      <c r="K631" t="s">
        <v>74</v>
      </c>
      <c r="L631" t="s">
        <v>74</v>
      </c>
      <c r="M631" t="s">
        <v>77</v>
      </c>
      <c r="N631" t="s">
        <v>120</v>
      </c>
      <c r="O631" t="s">
        <v>74</v>
      </c>
      <c r="P631" t="s">
        <v>74</v>
      </c>
      <c r="Q631" t="s">
        <v>74</v>
      </c>
      <c r="R631" t="s">
        <v>74</v>
      </c>
      <c r="S631" t="s">
        <v>74</v>
      </c>
      <c r="T631" t="s">
        <v>74</v>
      </c>
      <c r="U631" t="s">
        <v>8615</v>
      </c>
      <c r="V631" t="s">
        <v>8616</v>
      </c>
      <c r="W631" t="s">
        <v>8617</v>
      </c>
      <c r="X631" t="s">
        <v>8618</v>
      </c>
      <c r="Y631" t="s">
        <v>8619</v>
      </c>
      <c r="Z631" t="s">
        <v>74</v>
      </c>
      <c r="AA631" t="s">
        <v>8620</v>
      </c>
      <c r="AB631" t="s">
        <v>8621</v>
      </c>
      <c r="AC631" t="s">
        <v>74</v>
      </c>
      <c r="AD631" t="s">
        <v>74</v>
      </c>
      <c r="AE631" t="s">
        <v>74</v>
      </c>
      <c r="AF631" t="s">
        <v>74</v>
      </c>
      <c r="AG631">
        <v>34</v>
      </c>
      <c r="AH631">
        <v>63</v>
      </c>
      <c r="AI631">
        <v>70</v>
      </c>
      <c r="AJ631">
        <v>0</v>
      </c>
      <c r="AK631">
        <v>15</v>
      </c>
      <c r="AL631" t="s">
        <v>203</v>
      </c>
      <c r="AM631" t="s">
        <v>204</v>
      </c>
      <c r="AN631" t="s">
        <v>205</v>
      </c>
      <c r="AO631" t="s">
        <v>206</v>
      </c>
      <c r="AP631" t="s">
        <v>74</v>
      </c>
      <c r="AQ631" t="s">
        <v>74</v>
      </c>
      <c r="AR631" t="s">
        <v>207</v>
      </c>
      <c r="AS631" t="s">
        <v>208</v>
      </c>
      <c r="AT631" t="s">
        <v>7982</v>
      </c>
      <c r="AU631">
        <v>2001</v>
      </c>
      <c r="AV631">
        <v>24</v>
      </c>
      <c r="AW631">
        <v>5</v>
      </c>
      <c r="AX631" t="s">
        <v>74</v>
      </c>
      <c r="AY631" t="s">
        <v>74</v>
      </c>
      <c r="AZ631" t="s">
        <v>74</v>
      </c>
      <c r="BA631" t="s">
        <v>74</v>
      </c>
      <c r="BB631">
        <v>349</v>
      </c>
      <c r="BC631">
        <v>355</v>
      </c>
      <c r="BD631" t="s">
        <v>74</v>
      </c>
      <c r="BE631" t="s">
        <v>8622</v>
      </c>
      <c r="BF631" t="str">
        <f>HYPERLINK("http://dx.doi.org/10.1007/s003000000218","http://dx.doi.org/10.1007/s003000000218")</f>
        <v>http://dx.doi.org/10.1007/s003000000218</v>
      </c>
      <c r="BG631" t="s">
        <v>74</v>
      </c>
      <c r="BH631" t="s">
        <v>74</v>
      </c>
      <c r="BI631">
        <v>7</v>
      </c>
      <c r="BJ631" t="s">
        <v>209</v>
      </c>
      <c r="BK631" t="s">
        <v>88</v>
      </c>
      <c r="BL631" t="s">
        <v>210</v>
      </c>
      <c r="BM631" t="s">
        <v>8590</v>
      </c>
      <c r="BN631" t="s">
        <v>74</v>
      </c>
      <c r="BO631" t="s">
        <v>74</v>
      </c>
      <c r="BP631" t="s">
        <v>74</v>
      </c>
      <c r="BQ631" t="s">
        <v>74</v>
      </c>
      <c r="BR631" t="s">
        <v>91</v>
      </c>
      <c r="BS631" t="s">
        <v>8623</v>
      </c>
      <c r="BT631" t="str">
        <f>HYPERLINK("https%3A%2F%2Fwww.webofscience.com%2Fwos%2Fwoscc%2Ffull-record%2FWOS:000168622700008","View Full Record in Web of Science")</f>
        <v>View Full Record in Web of Science</v>
      </c>
    </row>
    <row r="632" spans="1:72" x14ac:dyDescent="0.15">
      <c r="A632" t="s">
        <v>72</v>
      </c>
      <c r="B632" t="s">
        <v>8624</v>
      </c>
      <c r="C632" t="s">
        <v>74</v>
      </c>
      <c r="D632" t="s">
        <v>74</v>
      </c>
      <c r="E632" t="s">
        <v>74</v>
      </c>
      <c r="F632" t="s">
        <v>8624</v>
      </c>
      <c r="G632" t="s">
        <v>74</v>
      </c>
      <c r="H632" t="s">
        <v>74</v>
      </c>
      <c r="I632" t="s">
        <v>8625</v>
      </c>
      <c r="J632" t="s">
        <v>194</v>
      </c>
      <c r="K632" t="s">
        <v>74</v>
      </c>
      <c r="L632" t="s">
        <v>74</v>
      </c>
      <c r="M632" t="s">
        <v>77</v>
      </c>
      <c r="N632" t="s">
        <v>120</v>
      </c>
      <c r="O632" t="s">
        <v>74</v>
      </c>
      <c r="P632" t="s">
        <v>74</v>
      </c>
      <c r="Q632" t="s">
        <v>74</v>
      </c>
      <c r="R632" t="s">
        <v>74</v>
      </c>
      <c r="S632" t="s">
        <v>74</v>
      </c>
      <c r="T632" t="s">
        <v>74</v>
      </c>
      <c r="U632" t="s">
        <v>8626</v>
      </c>
      <c r="V632" t="s">
        <v>8627</v>
      </c>
      <c r="W632" t="s">
        <v>8628</v>
      </c>
      <c r="X632" t="s">
        <v>8629</v>
      </c>
      <c r="Y632" t="s">
        <v>8630</v>
      </c>
      <c r="Z632" t="s">
        <v>74</v>
      </c>
      <c r="AA632" t="s">
        <v>8631</v>
      </c>
      <c r="AB632" t="s">
        <v>8632</v>
      </c>
      <c r="AC632" t="s">
        <v>74</v>
      </c>
      <c r="AD632" t="s">
        <v>74</v>
      </c>
      <c r="AE632" t="s">
        <v>74</v>
      </c>
      <c r="AF632" t="s">
        <v>74</v>
      </c>
      <c r="AG632">
        <v>23</v>
      </c>
      <c r="AH632">
        <v>25</v>
      </c>
      <c r="AI632">
        <v>26</v>
      </c>
      <c r="AJ632">
        <v>1</v>
      </c>
      <c r="AK632">
        <v>15</v>
      </c>
      <c r="AL632" t="s">
        <v>203</v>
      </c>
      <c r="AM632" t="s">
        <v>204</v>
      </c>
      <c r="AN632" t="s">
        <v>205</v>
      </c>
      <c r="AO632" t="s">
        <v>206</v>
      </c>
      <c r="AP632" t="s">
        <v>74</v>
      </c>
      <c r="AQ632" t="s">
        <v>74</v>
      </c>
      <c r="AR632" t="s">
        <v>207</v>
      </c>
      <c r="AS632" t="s">
        <v>208</v>
      </c>
      <c r="AT632" t="s">
        <v>7982</v>
      </c>
      <c r="AU632">
        <v>2001</v>
      </c>
      <c r="AV632">
        <v>24</v>
      </c>
      <c r="AW632">
        <v>5</v>
      </c>
      <c r="AX632" t="s">
        <v>74</v>
      </c>
      <c r="AY632" t="s">
        <v>74</v>
      </c>
      <c r="AZ632" t="s">
        <v>74</v>
      </c>
      <c r="BA632" t="s">
        <v>74</v>
      </c>
      <c r="BB632">
        <v>365</v>
      </c>
      <c r="BC632">
        <v>368</v>
      </c>
      <c r="BD632" t="s">
        <v>74</v>
      </c>
      <c r="BE632" t="s">
        <v>74</v>
      </c>
      <c r="BF632" t="s">
        <v>74</v>
      </c>
      <c r="BG632" t="s">
        <v>74</v>
      </c>
      <c r="BH632" t="s">
        <v>74</v>
      </c>
      <c r="BI632">
        <v>4</v>
      </c>
      <c r="BJ632" t="s">
        <v>209</v>
      </c>
      <c r="BK632" t="s">
        <v>88</v>
      </c>
      <c r="BL632" t="s">
        <v>210</v>
      </c>
      <c r="BM632" t="s">
        <v>8590</v>
      </c>
      <c r="BN632" t="s">
        <v>74</v>
      </c>
      <c r="BO632" t="s">
        <v>74</v>
      </c>
      <c r="BP632" t="s">
        <v>74</v>
      </c>
      <c r="BQ632" t="s">
        <v>74</v>
      </c>
      <c r="BR632" t="s">
        <v>91</v>
      </c>
      <c r="BS632" t="s">
        <v>8633</v>
      </c>
      <c r="BT632" t="str">
        <f>HYPERLINK("https%3A%2F%2Fwww.webofscience.com%2Fwos%2Fwoscc%2Ffull-record%2FWOS:000168622700010","View Full Record in Web of Science")</f>
        <v>View Full Record in Web of Science</v>
      </c>
    </row>
    <row r="633" spans="1:72" x14ac:dyDescent="0.15">
      <c r="A633" t="s">
        <v>72</v>
      </c>
      <c r="B633" t="s">
        <v>8634</v>
      </c>
      <c r="C633" t="s">
        <v>74</v>
      </c>
      <c r="D633" t="s">
        <v>74</v>
      </c>
      <c r="E633" t="s">
        <v>74</v>
      </c>
      <c r="F633" t="s">
        <v>8634</v>
      </c>
      <c r="G633" t="s">
        <v>74</v>
      </c>
      <c r="H633" t="s">
        <v>74</v>
      </c>
      <c r="I633" t="s">
        <v>8635</v>
      </c>
      <c r="J633" t="s">
        <v>194</v>
      </c>
      <c r="K633" t="s">
        <v>74</v>
      </c>
      <c r="L633" t="s">
        <v>74</v>
      </c>
      <c r="M633" t="s">
        <v>77</v>
      </c>
      <c r="N633" t="s">
        <v>120</v>
      </c>
      <c r="O633" t="s">
        <v>74</v>
      </c>
      <c r="P633" t="s">
        <v>74</v>
      </c>
      <c r="Q633" t="s">
        <v>74</v>
      </c>
      <c r="R633" t="s">
        <v>74</v>
      </c>
      <c r="S633" t="s">
        <v>74</v>
      </c>
      <c r="T633" t="s">
        <v>74</v>
      </c>
      <c r="U633" t="s">
        <v>8636</v>
      </c>
      <c r="V633" t="s">
        <v>8637</v>
      </c>
      <c r="W633" t="s">
        <v>8638</v>
      </c>
      <c r="X633" t="s">
        <v>8639</v>
      </c>
      <c r="Y633" t="s">
        <v>8640</v>
      </c>
      <c r="Z633" t="s">
        <v>74</v>
      </c>
      <c r="AA633" t="s">
        <v>8641</v>
      </c>
      <c r="AB633" t="s">
        <v>74</v>
      </c>
      <c r="AC633" t="s">
        <v>74</v>
      </c>
      <c r="AD633" t="s">
        <v>74</v>
      </c>
      <c r="AE633" t="s">
        <v>74</v>
      </c>
      <c r="AF633" t="s">
        <v>74</v>
      </c>
      <c r="AG633">
        <v>34</v>
      </c>
      <c r="AH633">
        <v>57</v>
      </c>
      <c r="AI633">
        <v>67</v>
      </c>
      <c r="AJ633">
        <v>4</v>
      </c>
      <c r="AK633">
        <v>20</v>
      </c>
      <c r="AL633" t="s">
        <v>203</v>
      </c>
      <c r="AM633" t="s">
        <v>204</v>
      </c>
      <c r="AN633" t="s">
        <v>205</v>
      </c>
      <c r="AO633" t="s">
        <v>206</v>
      </c>
      <c r="AP633" t="s">
        <v>74</v>
      </c>
      <c r="AQ633" t="s">
        <v>74</v>
      </c>
      <c r="AR633" t="s">
        <v>207</v>
      </c>
      <c r="AS633" t="s">
        <v>208</v>
      </c>
      <c r="AT633" t="s">
        <v>7982</v>
      </c>
      <c r="AU633">
        <v>2001</v>
      </c>
      <c r="AV633">
        <v>24</v>
      </c>
      <c r="AW633">
        <v>5</v>
      </c>
      <c r="AX633" t="s">
        <v>74</v>
      </c>
      <c r="AY633" t="s">
        <v>74</v>
      </c>
      <c r="AZ633" t="s">
        <v>74</v>
      </c>
      <c r="BA633" t="s">
        <v>74</v>
      </c>
      <c r="BB633">
        <v>386</v>
      </c>
      <c r="BC633">
        <v>388</v>
      </c>
      <c r="BD633" t="s">
        <v>74</v>
      </c>
      <c r="BE633" t="s">
        <v>74</v>
      </c>
      <c r="BF633" t="s">
        <v>74</v>
      </c>
      <c r="BG633" t="s">
        <v>74</v>
      </c>
      <c r="BH633" t="s">
        <v>74</v>
      </c>
      <c r="BI633">
        <v>3</v>
      </c>
      <c r="BJ633" t="s">
        <v>209</v>
      </c>
      <c r="BK633" t="s">
        <v>88</v>
      </c>
      <c r="BL633" t="s">
        <v>210</v>
      </c>
      <c r="BM633" t="s">
        <v>8590</v>
      </c>
      <c r="BN633" t="s">
        <v>74</v>
      </c>
      <c r="BO633" t="s">
        <v>74</v>
      </c>
      <c r="BP633" t="s">
        <v>74</v>
      </c>
      <c r="BQ633" t="s">
        <v>74</v>
      </c>
      <c r="BR633" t="s">
        <v>91</v>
      </c>
      <c r="BS633" t="s">
        <v>8642</v>
      </c>
      <c r="BT633" t="str">
        <f>HYPERLINK("https%3A%2F%2Fwww.webofscience.com%2Fwos%2Fwoscc%2Ffull-record%2FWOS:000168622700014","View Full Record in Web of Science")</f>
        <v>View Full Record in Web of Science</v>
      </c>
    </row>
    <row r="634" spans="1:72" x14ac:dyDescent="0.15">
      <c r="A634" t="s">
        <v>72</v>
      </c>
      <c r="B634" t="s">
        <v>8643</v>
      </c>
      <c r="C634" t="s">
        <v>74</v>
      </c>
      <c r="D634" t="s">
        <v>74</v>
      </c>
      <c r="E634" t="s">
        <v>74</v>
      </c>
      <c r="F634" t="s">
        <v>8643</v>
      </c>
      <c r="G634" t="s">
        <v>74</v>
      </c>
      <c r="H634" t="s">
        <v>74</v>
      </c>
      <c r="I634" t="s">
        <v>8644</v>
      </c>
      <c r="J634" t="s">
        <v>8645</v>
      </c>
      <c r="K634" t="s">
        <v>74</v>
      </c>
      <c r="L634" t="s">
        <v>74</v>
      </c>
      <c r="M634" t="s">
        <v>77</v>
      </c>
      <c r="N634" t="s">
        <v>120</v>
      </c>
      <c r="O634" t="s">
        <v>74</v>
      </c>
      <c r="P634" t="s">
        <v>74</v>
      </c>
      <c r="Q634" t="s">
        <v>74</v>
      </c>
      <c r="R634" t="s">
        <v>74</v>
      </c>
      <c r="S634" t="s">
        <v>74</v>
      </c>
      <c r="T634" t="s">
        <v>8646</v>
      </c>
      <c r="U634" t="s">
        <v>8647</v>
      </c>
      <c r="V634" t="s">
        <v>8648</v>
      </c>
      <c r="W634" t="s">
        <v>8649</v>
      </c>
      <c r="X634" t="s">
        <v>8650</v>
      </c>
      <c r="Y634" t="s">
        <v>8651</v>
      </c>
      <c r="Z634" t="s">
        <v>8652</v>
      </c>
      <c r="AA634" t="s">
        <v>74</v>
      </c>
      <c r="AB634" t="s">
        <v>74</v>
      </c>
      <c r="AC634" t="s">
        <v>74</v>
      </c>
      <c r="AD634" t="s">
        <v>74</v>
      </c>
      <c r="AE634" t="s">
        <v>74</v>
      </c>
      <c r="AF634" t="s">
        <v>74</v>
      </c>
      <c r="AG634">
        <v>37</v>
      </c>
      <c r="AH634">
        <v>36</v>
      </c>
      <c r="AI634">
        <v>42</v>
      </c>
      <c r="AJ634">
        <v>0</v>
      </c>
      <c r="AK634">
        <v>5</v>
      </c>
      <c r="AL634" t="s">
        <v>79</v>
      </c>
      <c r="AM634" t="s">
        <v>80</v>
      </c>
      <c r="AN634" t="s">
        <v>81</v>
      </c>
      <c r="AO634" t="s">
        <v>8653</v>
      </c>
      <c r="AP634" t="s">
        <v>74</v>
      </c>
      <c r="AQ634" t="s">
        <v>74</v>
      </c>
      <c r="AR634" t="s">
        <v>8654</v>
      </c>
      <c r="AS634" t="s">
        <v>8655</v>
      </c>
      <c r="AT634" t="s">
        <v>7982</v>
      </c>
      <c r="AU634">
        <v>2001</v>
      </c>
      <c r="AV634">
        <v>26</v>
      </c>
      <c r="AW634">
        <v>4</v>
      </c>
      <c r="AX634" t="s">
        <v>74</v>
      </c>
      <c r="AY634" t="s">
        <v>74</v>
      </c>
      <c r="AZ634" t="s">
        <v>74</v>
      </c>
      <c r="BA634" t="s">
        <v>74</v>
      </c>
      <c r="BB634">
        <v>421</v>
      </c>
      <c r="BC634">
        <v>431</v>
      </c>
      <c r="BD634" t="s">
        <v>74</v>
      </c>
      <c r="BE634" t="s">
        <v>8656</v>
      </c>
      <c r="BF634" t="str">
        <f>HYPERLINK("http://dx.doi.org/10.1016/S0306-4530(00)00064-0","http://dx.doi.org/10.1016/S0306-4530(00)00064-0")</f>
        <v>http://dx.doi.org/10.1016/S0306-4530(00)00064-0</v>
      </c>
      <c r="BG634" t="s">
        <v>74</v>
      </c>
      <c r="BH634" t="s">
        <v>74</v>
      </c>
      <c r="BI634">
        <v>11</v>
      </c>
      <c r="BJ634" t="s">
        <v>8657</v>
      </c>
      <c r="BK634" t="s">
        <v>4080</v>
      </c>
      <c r="BL634" t="s">
        <v>8658</v>
      </c>
      <c r="BM634" t="s">
        <v>8659</v>
      </c>
      <c r="BN634">
        <v>11259861</v>
      </c>
      <c r="BO634" t="s">
        <v>74</v>
      </c>
      <c r="BP634" t="s">
        <v>74</v>
      </c>
      <c r="BQ634" t="s">
        <v>74</v>
      </c>
      <c r="BR634" t="s">
        <v>91</v>
      </c>
      <c r="BS634" t="s">
        <v>8660</v>
      </c>
      <c r="BT634" t="str">
        <f>HYPERLINK("https%3A%2F%2Fwww.webofscience.com%2Fwos%2Fwoscc%2Ffull-record%2FWOS:000168016100006","View Full Record in Web of Science")</f>
        <v>View Full Record in Web of Science</v>
      </c>
    </row>
    <row r="635" spans="1:72" x14ac:dyDescent="0.15">
      <c r="A635" t="s">
        <v>72</v>
      </c>
      <c r="B635" t="s">
        <v>8661</v>
      </c>
      <c r="C635" t="s">
        <v>74</v>
      </c>
      <c r="D635" t="s">
        <v>74</v>
      </c>
      <c r="E635" t="s">
        <v>74</v>
      </c>
      <c r="F635" t="s">
        <v>8661</v>
      </c>
      <c r="G635" t="s">
        <v>74</v>
      </c>
      <c r="H635" t="s">
        <v>74</v>
      </c>
      <c r="I635" t="s">
        <v>8662</v>
      </c>
      <c r="J635" t="s">
        <v>8663</v>
      </c>
      <c r="K635" t="s">
        <v>74</v>
      </c>
      <c r="L635" t="s">
        <v>74</v>
      </c>
      <c r="M635" t="s">
        <v>77</v>
      </c>
      <c r="N635" t="s">
        <v>120</v>
      </c>
      <c r="O635" t="s">
        <v>74</v>
      </c>
      <c r="P635" t="s">
        <v>74</v>
      </c>
      <c r="Q635" t="s">
        <v>74</v>
      </c>
      <c r="R635" t="s">
        <v>74</v>
      </c>
      <c r="S635" t="s">
        <v>74</v>
      </c>
      <c r="T635" t="s">
        <v>74</v>
      </c>
      <c r="U635" t="s">
        <v>8664</v>
      </c>
      <c r="V635" t="s">
        <v>8665</v>
      </c>
      <c r="W635" t="s">
        <v>8666</v>
      </c>
      <c r="X635" t="s">
        <v>8667</v>
      </c>
      <c r="Y635" t="s">
        <v>8668</v>
      </c>
      <c r="Z635" t="s">
        <v>8669</v>
      </c>
      <c r="AA635" t="s">
        <v>8670</v>
      </c>
      <c r="AB635" t="s">
        <v>8671</v>
      </c>
      <c r="AC635" t="s">
        <v>74</v>
      </c>
      <c r="AD635" t="s">
        <v>74</v>
      </c>
      <c r="AE635" t="s">
        <v>74</v>
      </c>
      <c r="AF635" t="s">
        <v>74</v>
      </c>
      <c r="AG635">
        <v>51</v>
      </c>
      <c r="AH635">
        <v>62</v>
      </c>
      <c r="AI635">
        <v>70</v>
      </c>
      <c r="AJ635">
        <v>0</v>
      </c>
      <c r="AK635">
        <v>2</v>
      </c>
      <c r="AL635" t="s">
        <v>7775</v>
      </c>
      <c r="AM635" t="s">
        <v>7776</v>
      </c>
      <c r="AN635" t="s">
        <v>7777</v>
      </c>
      <c r="AO635" t="s">
        <v>8672</v>
      </c>
      <c r="AP635" t="s">
        <v>8673</v>
      </c>
      <c r="AQ635" t="s">
        <v>74</v>
      </c>
      <c r="AR635" t="s">
        <v>8674</v>
      </c>
      <c r="AS635" t="s">
        <v>8675</v>
      </c>
      <c r="AT635" t="s">
        <v>7982</v>
      </c>
      <c r="AU635">
        <v>2001</v>
      </c>
      <c r="AV635">
        <v>113</v>
      </c>
      <c r="AW635">
        <v>783</v>
      </c>
      <c r="AX635" t="s">
        <v>74</v>
      </c>
      <c r="AY635" t="s">
        <v>74</v>
      </c>
      <c r="AZ635" t="s">
        <v>74</v>
      </c>
      <c r="BA635" t="s">
        <v>74</v>
      </c>
      <c r="BB635">
        <v>567</v>
      </c>
      <c r="BC635">
        <v>585</v>
      </c>
      <c r="BD635" t="s">
        <v>74</v>
      </c>
      <c r="BE635" t="s">
        <v>8676</v>
      </c>
      <c r="BF635" t="str">
        <f>HYPERLINK("http://dx.doi.org/10.1086/320281","http://dx.doi.org/10.1086/320281")</f>
        <v>http://dx.doi.org/10.1086/320281</v>
      </c>
      <c r="BG635" t="s">
        <v>74</v>
      </c>
      <c r="BH635" t="s">
        <v>74</v>
      </c>
      <c r="BI635">
        <v>19</v>
      </c>
      <c r="BJ635" t="s">
        <v>1139</v>
      </c>
      <c r="BK635" t="s">
        <v>88</v>
      </c>
      <c r="BL635" t="s">
        <v>1139</v>
      </c>
      <c r="BM635" t="s">
        <v>8677</v>
      </c>
      <c r="BN635" t="s">
        <v>74</v>
      </c>
      <c r="BO635" t="s">
        <v>1685</v>
      </c>
      <c r="BP635" t="s">
        <v>74</v>
      </c>
      <c r="BQ635" t="s">
        <v>74</v>
      </c>
      <c r="BR635" t="s">
        <v>91</v>
      </c>
      <c r="BS635" t="s">
        <v>8678</v>
      </c>
      <c r="BT635" t="str">
        <f>HYPERLINK("https%3A%2F%2Fwww.webofscience.com%2Fwos%2Fwoscc%2Ffull-record%2FWOS:000168416400007","View Full Record in Web of Science")</f>
        <v>View Full Record in Web of Science</v>
      </c>
    </row>
    <row r="636" spans="1:72" x14ac:dyDescent="0.15">
      <c r="A636" t="s">
        <v>72</v>
      </c>
      <c r="B636" t="s">
        <v>8679</v>
      </c>
      <c r="C636" t="s">
        <v>74</v>
      </c>
      <c r="D636" t="s">
        <v>74</v>
      </c>
      <c r="E636" t="s">
        <v>74</v>
      </c>
      <c r="F636" t="s">
        <v>8679</v>
      </c>
      <c r="G636" t="s">
        <v>74</v>
      </c>
      <c r="H636" t="s">
        <v>74</v>
      </c>
      <c r="I636" t="s">
        <v>8680</v>
      </c>
      <c r="J636" t="s">
        <v>1689</v>
      </c>
      <c r="K636" t="s">
        <v>74</v>
      </c>
      <c r="L636" t="s">
        <v>74</v>
      </c>
      <c r="M636" t="s">
        <v>77</v>
      </c>
      <c r="N636" t="s">
        <v>120</v>
      </c>
      <c r="O636" t="s">
        <v>74</v>
      </c>
      <c r="P636" t="s">
        <v>74</v>
      </c>
      <c r="Q636" t="s">
        <v>74</v>
      </c>
      <c r="R636" t="s">
        <v>74</v>
      </c>
      <c r="S636" t="s">
        <v>74</v>
      </c>
      <c r="T636" t="s">
        <v>8681</v>
      </c>
      <c r="U636" t="s">
        <v>8682</v>
      </c>
      <c r="V636" t="s">
        <v>8683</v>
      </c>
      <c r="W636" t="s">
        <v>8684</v>
      </c>
      <c r="X636" t="s">
        <v>8685</v>
      </c>
      <c r="Y636" t="s">
        <v>8686</v>
      </c>
      <c r="Z636" t="s">
        <v>74</v>
      </c>
      <c r="AA636" t="s">
        <v>8687</v>
      </c>
      <c r="AB636" t="s">
        <v>8688</v>
      </c>
      <c r="AC636" t="s">
        <v>74</v>
      </c>
      <c r="AD636" t="s">
        <v>74</v>
      </c>
      <c r="AE636" t="s">
        <v>74</v>
      </c>
      <c r="AF636" t="s">
        <v>74</v>
      </c>
      <c r="AG636">
        <v>22</v>
      </c>
      <c r="AH636">
        <v>17</v>
      </c>
      <c r="AI636">
        <v>18</v>
      </c>
      <c r="AJ636">
        <v>0</v>
      </c>
      <c r="AK636">
        <v>10</v>
      </c>
      <c r="AL636" t="s">
        <v>1293</v>
      </c>
      <c r="AM636" t="s">
        <v>204</v>
      </c>
      <c r="AN636" t="s">
        <v>1699</v>
      </c>
      <c r="AO636" t="s">
        <v>1700</v>
      </c>
      <c r="AP636" t="s">
        <v>1701</v>
      </c>
      <c r="AQ636" t="s">
        <v>74</v>
      </c>
      <c r="AR636" t="s">
        <v>1702</v>
      </c>
      <c r="AS636" t="s">
        <v>1703</v>
      </c>
      <c r="AT636" t="s">
        <v>7982</v>
      </c>
      <c r="AU636">
        <v>2001</v>
      </c>
      <c r="AV636">
        <v>55</v>
      </c>
      <c r="AW636">
        <v>3</v>
      </c>
      <c r="AX636" t="s">
        <v>74</v>
      </c>
      <c r="AY636" t="s">
        <v>74</v>
      </c>
      <c r="AZ636" t="s">
        <v>74</v>
      </c>
      <c r="BA636" t="s">
        <v>74</v>
      </c>
      <c r="BB636">
        <v>380</v>
      </c>
      <c r="BC636">
        <v>384</v>
      </c>
      <c r="BD636" t="s">
        <v>74</v>
      </c>
      <c r="BE636" t="s">
        <v>8689</v>
      </c>
      <c r="BF636" t="str">
        <f>HYPERLINK("http://dx.doi.org/10.1006/qres.2001.2222","http://dx.doi.org/10.1006/qres.2001.2222")</f>
        <v>http://dx.doi.org/10.1006/qres.2001.2222</v>
      </c>
      <c r="BG636" t="s">
        <v>74</v>
      </c>
      <c r="BH636" t="s">
        <v>74</v>
      </c>
      <c r="BI636">
        <v>5</v>
      </c>
      <c r="BJ636" t="s">
        <v>1049</v>
      </c>
      <c r="BK636" t="s">
        <v>88</v>
      </c>
      <c r="BL636" t="s">
        <v>1050</v>
      </c>
      <c r="BM636" t="s">
        <v>8690</v>
      </c>
      <c r="BN636" t="s">
        <v>74</v>
      </c>
      <c r="BO636" t="s">
        <v>74</v>
      </c>
      <c r="BP636" t="s">
        <v>74</v>
      </c>
      <c r="BQ636" t="s">
        <v>74</v>
      </c>
      <c r="BR636" t="s">
        <v>91</v>
      </c>
      <c r="BS636" t="s">
        <v>8691</v>
      </c>
      <c r="BT636" t="str">
        <f>HYPERLINK("https%3A%2F%2Fwww.webofscience.com%2Fwos%2Fwoscc%2Ffull-record%2FWOS:000168957000013","View Full Record in Web of Science")</f>
        <v>View Full Record in Web of Science</v>
      </c>
    </row>
    <row r="637" spans="1:72" x14ac:dyDescent="0.15">
      <c r="A637" t="s">
        <v>72</v>
      </c>
      <c r="B637" t="s">
        <v>8692</v>
      </c>
      <c r="C637" t="s">
        <v>74</v>
      </c>
      <c r="D637" t="s">
        <v>74</v>
      </c>
      <c r="E637" t="s">
        <v>74</v>
      </c>
      <c r="F637" t="s">
        <v>8692</v>
      </c>
      <c r="G637" t="s">
        <v>74</v>
      </c>
      <c r="H637" t="s">
        <v>74</v>
      </c>
      <c r="I637" t="s">
        <v>8693</v>
      </c>
      <c r="J637" t="s">
        <v>5398</v>
      </c>
      <c r="K637" t="s">
        <v>74</v>
      </c>
      <c r="L637" t="s">
        <v>74</v>
      </c>
      <c r="M637" t="s">
        <v>77</v>
      </c>
      <c r="N637" t="s">
        <v>96</v>
      </c>
      <c r="O637" t="s">
        <v>74</v>
      </c>
      <c r="P637" t="s">
        <v>74</v>
      </c>
      <c r="Q637" t="s">
        <v>74</v>
      </c>
      <c r="R637" t="s">
        <v>74</v>
      </c>
      <c r="S637" t="s">
        <v>74</v>
      </c>
      <c r="T637" t="s">
        <v>74</v>
      </c>
      <c r="U637" t="s">
        <v>8694</v>
      </c>
      <c r="V637" t="s">
        <v>8695</v>
      </c>
      <c r="W637" t="s">
        <v>8696</v>
      </c>
      <c r="X637" t="s">
        <v>8697</v>
      </c>
      <c r="Y637" t="s">
        <v>8698</v>
      </c>
      <c r="Z637" t="s">
        <v>8699</v>
      </c>
      <c r="AA637" t="s">
        <v>8700</v>
      </c>
      <c r="AB637" t="s">
        <v>8701</v>
      </c>
      <c r="AC637" t="s">
        <v>74</v>
      </c>
      <c r="AD637" t="s">
        <v>74</v>
      </c>
      <c r="AE637" t="s">
        <v>74</v>
      </c>
      <c r="AF637" t="s">
        <v>74</v>
      </c>
      <c r="AG637">
        <v>298</v>
      </c>
      <c r="AH637">
        <v>271</v>
      </c>
      <c r="AI637">
        <v>309</v>
      </c>
      <c r="AJ637">
        <v>6</v>
      </c>
      <c r="AK637">
        <v>168</v>
      </c>
      <c r="AL637" t="s">
        <v>149</v>
      </c>
      <c r="AM637" t="s">
        <v>150</v>
      </c>
      <c r="AN637" t="s">
        <v>151</v>
      </c>
      <c r="AO637" t="s">
        <v>5407</v>
      </c>
      <c r="AP637" t="s">
        <v>5408</v>
      </c>
      <c r="AQ637" t="s">
        <v>74</v>
      </c>
      <c r="AR637" t="s">
        <v>5409</v>
      </c>
      <c r="AS637" t="s">
        <v>5410</v>
      </c>
      <c r="AT637" t="s">
        <v>7982</v>
      </c>
      <c r="AU637">
        <v>2001</v>
      </c>
      <c r="AV637">
        <v>39</v>
      </c>
      <c r="AW637">
        <v>2</v>
      </c>
      <c r="AX637" t="s">
        <v>74</v>
      </c>
      <c r="AY637" t="s">
        <v>74</v>
      </c>
      <c r="AZ637" t="s">
        <v>74</v>
      </c>
      <c r="BA637" t="s">
        <v>74</v>
      </c>
      <c r="BB637">
        <v>231</v>
      </c>
      <c r="BC637">
        <v>290</v>
      </c>
      <c r="BD637" t="s">
        <v>74</v>
      </c>
      <c r="BE637" t="s">
        <v>8702</v>
      </c>
      <c r="BF637" t="str">
        <f>HYPERLINK("http://dx.doi.org/10.1029/1999RG000059","http://dx.doi.org/10.1029/1999RG000059")</f>
        <v>http://dx.doi.org/10.1029/1999RG000059</v>
      </c>
      <c r="BG637" t="s">
        <v>74</v>
      </c>
      <c r="BH637" t="s">
        <v>74</v>
      </c>
      <c r="BI637">
        <v>60</v>
      </c>
      <c r="BJ637" t="s">
        <v>388</v>
      </c>
      <c r="BK637" t="s">
        <v>88</v>
      </c>
      <c r="BL637" t="s">
        <v>388</v>
      </c>
      <c r="BM637" t="s">
        <v>8703</v>
      </c>
      <c r="BN637" t="s">
        <v>74</v>
      </c>
      <c r="BO637" t="s">
        <v>74</v>
      </c>
      <c r="BP637" t="s">
        <v>74</v>
      </c>
      <c r="BQ637" t="s">
        <v>74</v>
      </c>
      <c r="BR637" t="s">
        <v>91</v>
      </c>
      <c r="BS637" t="s">
        <v>8704</v>
      </c>
      <c r="BT637" t="str">
        <f>HYPERLINK("https%3A%2F%2Fwww.webofscience.com%2Fwos%2Fwoscc%2Ffull-record%2FWOS:000168529700004","View Full Record in Web of Science")</f>
        <v>View Full Record in Web of Science</v>
      </c>
    </row>
    <row r="638" spans="1:72" x14ac:dyDescent="0.15">
      <c r="A638" t="s">
        <v>72</v>
      </c>
      <c r="B638" t="s">
        <v>8705</v>
      </c>
      <c r="C638" t="s">
        <v>74</v>
      </c>
      <c r="D638" t="s">
        <v>74</v>
      </c>
      <c r="E638" t="s">
        <v>74</v>
      </c>
      <c r="F638" t="s">
        <v>8705</v>
      </c>
      <c r="G638" t="s">
        <v>74</v>
      </c>
      <c r="H638" t="s">
        <v>74</v>
      </c>
      <c r="I638" t="s">
        <v>8706</v>
      </c>
      <c r="J638" t="s">
        <v>8707</v>
      </c>
      <c r="K638" t="s">
        <v>74</v>
      </c>
      <c r="L638" t="s">
        <v>74</v>
      </c>
      <c r="M638" t="s">
        <v>77</v>
      </c>
      <c r="N638" t="s">
        <v>120</v>
      </c>
      <c r="O638" t="s">
        <v>74</v>
      </c>
      <c r="P638" t="s">
        <v>74</v>
      </c>
      <c r="Q638" t="s">
        <v>74</v>
      </c>
      <c r="R638" t="s">
        <v>74</v>
      </c>
      <c r="S638" t="s">
        <v>74</v>
      </c>
      <c r="T638" t="s">
        <v>8708</v>
      </c>
      <c r="U638" t="s">
        <v>8709</v>
      </c>
      <c r="V638" t="s">
        <v>8710</v>
      </c>
      <c r="W638" t="s">
        <v>8711</v>
      </c>
      <c r="X638" t="s">
        <v>8712</v>
      </c>
      <c r="Y638" t="s">
        <v>2807</v>
      </c>
      <c r="Z638" t="s">
        <v>8713</v>
      </c>
      <c r="AA638" t="s">
        <v>74</v>
      </c>
      <c r="AB638" t="s">
        <v>8714</v>
      </c>
      <c r="AC638" t="s">
        <v>74</v>
      </c>
      <c r="AD638" t="s">
        <v>74</v>
      </c>
      <c r="AE638" t="s">
        <v>74</v>
      </c>
      <c r="AF638" t="s">
        <v>74</v>
      </c>
      <c r="AG638">
        <v>57</v>
      </c>
      <c r="AH638">
        <v>19</v>
      </c>
      <c r="AI638">
        <v>23</v>
      </c>
      <c r="AJ638">
        <v>0</v>
      </c>
      <c r="AK638">
        <v>4</v>
      </c>
      <c r="AL638" t="s">
        <v>79</v>
      </c>
      <c r="AM638" t="s">
        <v>80</v>
      </c>
      <c r="AN638" t="s">
        <v>81</v>
      </c>
      <c r="AO638" t="s">
        <v>8715</v>
      </c>
      <c r="AP638" t="s">
        <v>8716</v>
      </c>
      <c r="AQ638" t="s">
        <v>74</v>
      </c>
      <c r="AR638" t="s">
        <v>8717</v>
      </c>
      <c r="AS638" t="s">
        <v>8718</v>
      </c>
      <c r="AT638" t="s">
        <v>7982</v>
      </c>
      <c r="AU638">
        <v>2001</v>
      </c>
      <c r="AV638">
        <v>33</v>
      </c>
      <c r="AW638">
        <v>6</v>
      </c>
      <c r="AX638" t="s">
        <v>74</v>
      </c>
      <c r="AY638" t="s">
        <v>74</v>
      </c>
      <c r="AZ638" t="s">
        <v>74</v>
      </c>
      <c r="BA638" t="s">
        <v>74</v>
      </c>
      <c r="BB638">
        <v>819</v>
      </c>
      <c r="BC638">
        <v>829</v>
      </c>
      <c r="BD638" t="s">
        <v>74</v>
      </c>
      <c r="BE638" t="s">
        <v>8719</v>
      </c>
      <c r="BF638" t="str">
        <f>HYPERLINK("http://dx.doi.org/10.1016/S0038-0717(00)00230-3","http://dx.doi.org/10.1016/S0038-0717(00)00230-3")</f>
        <v>http://dx.doi.org/10.1016/S0038-0717(00)00230-3</v>
      </c>
      <c r="BG638" t="s">
        <v>74</v>
      </c>
      <c r="BH638" t="s">
        <v>74</v>
      </c>
      <c r="BI638">
        <v>11</v>
      </c>
      <c r="BJ638" t="s">
        <v>8720</v>
      </c>
      <c r="BK638" t="s">
        <v>88</v>
      </c>
      <c r="BL638" t="s">
        <v>8721</v>
      </c>
      <c r="BM638" t="s">
        <v>8722</v>
      </c>
      <c r="BN638" t="s">
        <v>74</v>
      </c>
      <c r="BO638" t="s">
        <v>74</v>
      </c>
      <c r="BP638" t="s">
        <v>74</v>
      </c>
      <c r="BQ638" t="s">
        <v>74</v>
      </c>
      <c r="BR638" t="s">
        <v>91</v>
      </c>
      <c r="BS638" t="s">
        <v>8723</v>
      </c>
      <c r="BT638" t="str">
        <f>HYPERLINK("https%3A%2F%2Fwww.webofscience.com%2Fwos%2Fwoscc%2Ffull-record%2FWOS:000168631500013","View Full Record in Web of Science")</f>
        <v>View Full Record in Web of Science</v>
      </c>
    </row>
    <row r="639" spans="1:72" x14ac:dyDescent="0.15">
      <c r="A639" t="s">
        <v>72</v>
      </c>
      <c r="B639" t="s">
        <v>8724</v>
      </c>
      <c r="C639" t="s">
        <v>74</v>
      </c>
      <c r="D639" t="s">
        <v>74</v>
      </c>
      <c r="E639" t="s">
        <v>74</v>
      </c>
      <c r="F639" t="s">
        <v>8724</v>
      </c>
      <c r="G639" t="s">
        <v>74</v>
      </c>
      <c r="H639" t="s">
        <v>74</v>
      </c>
      <c r="I639" t="s">
        <v>8725</v>
      </c>
      <c r="J639" t="s">
        <v>8726</v>
      </c>
      <c r="K639" t="s">
        <v>74</v>
      </c>
      <c r="L639" t="s">
        <v>74</v>
      </c>
      <c r="M639" t="s">
        <v>77</v>
      </c>
      <c r="N639" t="s">
        <v>120</v>
      </c>
      <c r="O639" t="s">
        <v>74</v>
      </c>
      <c r="P639" t="s">
        <v>74</v>
      </c>
      <c r="Q639" t="s">
        <v>74</v>
      </c>
      <c r="R639" t="s">
        <v>74</v>
      </c>
      <c r="S639" t="s">
        <v>74</v>
      </c>
      <c r="T639" t="s">
        <v>74</v>
      </c>
      <c r="U639" t="s">
        <v>8727</v>
      </c>
      <c r="V639" t="s">
        <v>8728</v>
      </c>
      <c r="W639" t="s">
        <v>8729</v>
      </c>
      <c r="X639" t="s">
        <v>8730</v>
      </c>
      <c r="Y639" t="s">
        <v>74</v>
      </c>
      <c r="Z639" t="s">
        <v>8731</v>
      </c>
      <c r="AA639" t="s">
        <v>74</v>
      </c>
      <c r="AB639" t="s">
        <v>74</v>
      </c>
      <c r="AC639" t="s">
        <v>74</v>
      </c>
      <c r="AD639" t="s">
        <v>74</v>
      </c>
      <c r="AE639" t="s">
        <v>74</v>
      </c>
      <c r="AF639" t="s">
        <v>74</v>
      </c>
      <c r="AG639">
        <v>42</v>
      </c>
      <c r="AH639">
        <v>11</v>
      </c>
      <c r="AI639">
        <v>11</v>
      </c>
      <c r="AJ639">
        <v>0</v>
      </c>
      <c r="AK639">
        <v>1</v>
      </c>
      <c r="AL639" t="s">
        <v>104</v>
      </c>
      <c r="AM639" t="s">
        <v>105</v>
      </c>
      <c r="AN639" t="s">
        <v>106</v>
      </c>
      <c r="AO639" t="s">
        <v>8732</v>
      </c>
      <c r="AP639" t="s">
        <v>74</v>
      </c>
      <c r="AQ639" t="s">
        <v>74</v>
      </c>
      <c r="AR639" t="s">
        <v>8733</v>
      </c>
      <c r="AS639" t="s">
        <v>8734</v>
      </c>
      <c r="AT639" t="s">
        <v>7982</v>
      </c>
      <c r="AU639">
        <v>2001</v>
      </c>
      <c r="AV639">
        <v>53</v>
      </c>
      <c r="AW639">
        <v>3</v>
      </c>
      <c r="AX639" t="s">
        <v>74</v>
      </c>
      <c r="AY639" t="s">
        <v>74</v>
      </c>
      <c r="AZ639" t="s">
        <v>74</v>
      </c>
      <c r="BA639" t="s">
        <v>74</v>
      </c>
      <c r="BB639">
        <v>403</v>
      </c>
      <c r="BC639">
        <v>424</v>
      </c>
      <c r="BD639" t="s">
        <v>74</v>
      </c>
      <c r="BE639" t="s">
        <v>8735</v>
      </c>
      <c r="BF639" t="str">
        <f>HYPERLINK("http://dx.doi.org/10.3402/tellusa.v53i3.12197","http://dx.doi.org/10.3402/tellusa.v53i3.12197")</f>
        <v>http://dx.doi.org/10.3402/tellusa.v53i3.12197</v>
      </c>
      <c r="BG639" t="s">
        <v>74</v>
      </c>
      <c r="BH639" t="s">
        <v>74</v>
      </c>
      <c r="BI639">
        <v>22</v>
      </c>
      <c r="BJ639" t="s">
        <v>3750</v>
      </c>
      <c r="BK639" t="s">
        <v>88</v>
      </c>
      <c r="BL639" t="s">
        <v>3750</v>
      </c>
      <c r="BM639" t="s">
        <v>8736</v>
      </c>
      <c r="BN639" t="s">
        <v>74</v>
      </c>
      <c r="BO639" t="s">
        <v>359</v>
      </c>
      <c r="BP639" t="s">
        <v>74</v>
      </c>
      <c r="BQ639" t="s">
        <v>74</v>
      </c>
      <c r="BR639" t="s">
        <v>91</v>
      </c>
      <c r="BS639" t="s">
        <v>8737</v>
      </c>
      <c r="BT639" t="str">
        <f>HYPERLINK("https%3A%2F%2Fwww.webofscience.com%2Fwos%2Fwoscc%2Ffull-record%2FWOS:000169810600008","View Full Record in Web of Science")</f>
        <v>View Full Record in Web of Science</v>
      </c>
    </row>
    <row r="640" spans="1:72" x14ac:dyDescent="0.15">
      <c r="A640" t="s">
        <v>72</v>
      </c>
      <c r="B640" t="s">
        <v>8738</v>
      </c>
      <c r="C640" t="s">
        <v>74</v>
      </c>
      <c r="D640" t="s">
        <v>74</v>
      </c>
      <c r="E640" t="s">
        <v>74</v>
      </c>
      <c r="F640" t="s">
        <v>8738</v>
      </c>
      <c r="G640" t="s">
        <v>74</v>
      </c>
      <c r="H640" t="s">
        <v>74</v>
      </c>
      <c r="I640" t="s">
        <v>8739</v>
      </c>
      <c r="J640" t="s">
        <v>1867</v>
      </c>
      <c r="K640" t="s">
        <v>74</v>
      </c>
      <c r="L640" t="s">
        <v>74</v>
      </c>
      <c r="M640" t="s">
        <v>77</v>
      </c>
      <c r="N640" t="s">
        <v>96</v>
      </c>
      <c r="O640" t="s">
        <v>74</v>
      </c>
      <c r="P640" t="s">
        <v>74</v>
      </c>
      <c r="Q640" t="s">
        <v>74</v>
      </c>
      <c r="R640" t="s">
        <v>74</v>
      </c>
      <c r="S640" t="s">
        <v>74</v>
      </c>
      <c r="T640" t="s">
        <v>74</v>
      </c>
      <c r="U640" t="s">
        <v>8740</v>
      </c>
      <c r="V640" t="s">
        <v>8741</v>
      </c>
      <c r="W640" t="s">
        <v>8742</v>
      </c>
      <c r="X640" t="s">
        <v>8743</v>
      </c>
      <c r="Y640" t="s">
        <v>8744</v>
      </c>
      <c r="Z640" t="s">
        <v>74</v>
      </c>
      <c r="AA640" t="s">
        <v>74</v>
      </c>
      <c r="AB640" t="s">
        <v>74</v>
      </c>
      <c r="AC640" t="s">
        <v>74</v>
      </c>
      <c r="AD640" t="s">
        <v>74</v>
      </c>
      <c r="AE640" t="s">
        <v>74</v>
      </c>
      <c r="AF640" t="s">
        <v>74</v>
      </c>
      <c r="AG640">
        <v>89</v>
      </c>
      <c r="AH640">
        <v>1393</v>
      </c>
      <c r="AI640">
        <v>1561</v>
      </c>
      <c r="AJ640">
        <v>16</v>
      </c>
      <c r="AK640">
        <v>357</v>
      </c>
      <c r="AL640" t="s">
        <v>1872</v>
      </c>
      <c r="AM640" t="s">
        <v>150</v>
      </c>
      <c r="AN640" t="s">
        <v>1873</v>
      </c>
      <c r="AO640" t="s">
        <v>1874</v>
      </c>
      <c r="AP640" t="s">
        <v>3175</v>
      </c>
      <c r="AQ640" t="s">
        <v>74</v>
      </c>
      <c r="AR640" t="s">
        <v>1867</v>
      </c>
      <c r="AS640" t="s">
        <v>1875</v>
      </c>
      <c r="AT640" t="s">
        <v>8745</v>
      </c>
      <c r="AU640">
        <v>2001</v>
      </c>
      <c r="AV640">
        <v>292</v>
      </c>
      <c r="AW640">
        <v>5517</v>
      </c>
      <c r="AX640" t="s">
        <v>74</v>
      </c>
      <c r="AY640" t="s">
        <v>74</v>
      </c>
      <c r="AZ640" t="s">
        <v>74</v>
      </c>
      <c r="BA640" t="s">
        <v>74</v>
      </c>
      <c r="BB640">
        <v>679</v>
      </c>
      <c r="BC640">
        <v>686</v>
      </c>
      <c r="BD640" t="s">
        <v>74</v>
      </c>
      <c r="BE640" t="s">
        <v>8746</v>
      </c>
      <c r="BF640" t="str">
        <f>HYPERLINK("http://dx.doi.org/10.1126/science.1059549","http://dx.doi.org/10.1126/science.1059549")</f>
        <v>http://dx.doi.org/10.1126/science.1059549</v>
      </c>
      <c r="BG640" t="s">
        <v>74</v>
      </c>
      <c r="BH640" t="s">
        <v>74</v>
      </c>
      <c r="BI640">
        <v>8</v>
      </c>
      <c r="BJ640" t="s">
        <v>575</v>
      </c>
      <c r="BK640" t="s">
        <v>88</v>
      </c>
      <c r="BL640" t="s">
        <v>576</v>
      </c>
      <c r="BM640" t="s">
        <v>8747</v>
      </c>
      <c r="BN640">
        <v>11326090</v>
      </c>
      <c r="BO640" t="s">
        <v>74</v>
      </c>
      <c r="BP640" t="s">
        <v>74</v>
      </c>
      <c r="BQ640" t="s">
        <v>74</v>
      </c>
      <c r="BR640" t="s">
        <v>91</v>
      </c>
      <c r="BS640" t="s">
        <v>8748</v>
      </c>
      <c r="BT640" t="str">
        <f>HYPERLINK("https%3A%2F%2Fwww.webofscience.com%2Fwos%2Fwoscc%2Ffull-record%2FWOS:000168478300040","View Full Record in Web of Science")</f>
        <v>View Full Record in Web of Science</v>
      </c>
    </row>
    <row r="641" spans="1:72" x14ac:dyDescent="0.15">
      <c r="A641" t="s">
        <v>72</v>
      </c>
      <c r="B641" t="s">
        <v>8749</v>
      </c>
      <c r="C641" t="s">
        <v>74</v>
      </c>
      <c r="D641" t="s">
        <v>74</v>
      </c>
      <c r="E641" t="s">
        <v>74</v>
      </c>
      <c r="F641" t="s">
        <v>8749</v>
      </c>
      <c r="G641" t="s">
        <v>74</v>
      </c>
      <c r="H641" t="s">
        <v>74</v>
      </c>
      <c r="I641" t="s">
        <v>8750</v>
      </c>
      <c r="J641" t="s">
        <v>1867</v>
      </c>
      <c r="K641" t="s">
        <v>74</v>
      </c>
      <c r="L641" t="s">
        <v>74</v>
      </c>
      <c r="M641" t="s">
        <v>77</v>
      </c>
      <c r="N641" t="s">
        <v>96</v>
      </c>
      <c r="O641" t="s">
        <v>74</v>
      </c>
      <c r="P641" t="s">
        <v>74</v>
      </c>
      <c r="Q641" t="s">
        <v>74</v>
      </c>
      <c r="R641" t="s">
        <v>74</v>
      </c>
      <c r="S641" t="s">
        <v>74</v>
      </c>
      <c r="T641" t="s">
        <v>74</v>
      </c>
      <c r="U641" t="s">
        <v>8751</v>
      </c>
      <c r="V641" t="s">
        <v>8752</v>
      </c>
      <c r="W641" t="s">
        <v>8753</v>
      </c>
      <c r="X641" t="s">
        <v>8754</v>
      </c>
      <c r="Y641" t="s">
        <v>8755</v>
      </c>
      <c r="Z641" t="s">
        <v>8756</v>
      </c>
      <c r="AA641" t="s">
        <v>8757</v>
      </c>
      <c r="AB641" t="s">
        <v>8758</v>
      </c>
      <c r="AC641" t="s">
        <v>74</v>
      </c>
      <c r="AD641" t="s">
        <v>74</v>
      </c>
      <c r="AE641" t="s">
        <v>74</v>
      </c>
      <c r="AF641" t="s">
        <v>74</v>
      </c>
      <c r="AG641">
        <v>120</v>
      </c>
      <c r="AH641">
        <v>7603</v>
      </c>
      <c r="AI641">
        <v>8875</v>
      </c>
      <c r="AJ641">
        <v>154</v>
      </c>
      <c r="AK641">
        <v>3791</v>
      </c>
      <c r="AL641" t="s">
        <v>1872</v>
      </c>
      <c r="AM641" t="s">
        <v>150</v>
      </c>
      <c r="AN641" t="s">
        <v>1873</v>
      </c>
      <c r="AO641" t="s">
        <v>1874</v>
      </c>
      <c r="AP641" t="s">
        <v>3175</v>
      </c>
      <c r="AQ641" t="s">
        <v>74</v>
      </c>
      <c r="AR641" t="s">
        <v>1867</v>
      </c>
      <c r="AS641" t="s">
        <v>1875</v>
      </c>
      <c r="AT641" t="s">
        <v>8745</v>
      </c>
      <c r="AU641">
        <v>2001</v>
      </c>
      <c r="AV641">
        <v>292</v>
      </c>
      <c r="AW641">
        <v>5517</v>
      </c>
      <c r="AX641" t="s">
        <v>74</v>
      </c>
      <c r="AY641" t="s">
        <v>74</v>
      </c>
      <c r="AZ641" t="s">
        <v>74</v>
      </c>
      <c r="BA641" t="s">
        <v>74</v>
      </c>
      <c r="BB641">
        <v>686</v>
      </c>
      <c r="BC641">
        <v>693</v>
      </c>
      <c r="BD641" t="s">
        <v>74</v>
      </c>
      <c r="BE641" t="s">
        <v>8759</v>
      </c>
      <c r="BF641" t="str">
        <f>HYPERLINK("http://dx.doi.org/10.1126/science.1059412","http://dx.doi.org/10.1126/science.1059412")</f>
        <v>http://dx.doi.org/10.1126/science.1059412</v>
      </c>
      <c r="BG641" t="s">
        <v>74</v>
      </c>
      <c r="BH641" t="s">
        <v>74</v>
      </c>
      <c r="BI641">
        <v>8</v>
      </c>
      <c r="BJ641" t="s">
        <v>575</v>
      </c>
      <c r="BK641" t="s">
        <v>88</v>
      </c>
      <c r="BL641" t="s">
        <v>576</v>
      </c>
      <c r="BM641" t="s">
        <v>8747</v>
      </c>
      <c r="BN641">
        <v>11326091</v>
      </c>
      <c r="BO641" t="s">
        <v>1685</v>
      </c>
      <c r="BP641" t="s">
        <v>74</v>
      </c>
      <c r="BQ641" t="s">
        <v>74</v>
      </c>
      <c r="BR641" t="s">
        <v>91</v>
      </c>
      <c r="BS641" t="s">
        <v>8760</v>
      </c>
      <c r="BT641" t="str">
        <f>HYPERLINK("https%3A%2F%2Fwww.webofscience.com%2Fwos%2Fwoscc%2Ffull-record%2FWOS:000168478300041","View Full Record in Web of Science")</f>
        <v>View Full Record in Web of Science</v>
      </c>
    </row>
    <row r="642" spans="1:72" x14ac:dyDescent="0.15">
      <c r="A642" t="s">
        <v>72</v>
      </c>
      <c r="B642" t="s">
        <v>8761</v>
      </c>
      <c r="C642" t="s">
        <v>74</v>
      </c>
      <c r="D642" t="s">
        <v>74</v>
      </c>
      <c r="E642" t="s">
        <v>74</v>
      </c>
      <c r="F642" t="s">
        <v>8761</v>
      </c>
      <c r="G642" t="s">
        <v>74</v>
      </c>
      <c r="H642" t="s">
        <v>74</v>
      </c>
      <c r="I642" t="s">
        <v>8762</v>
      </c>
      <c r="J642" t="s">
        <v>5467</v>
      </c>
      <c r="K642" t="s">
        <v>74</v>
      </c>
      <c r="L642" t="s">
        <v>74</v>
      </c>
      <c r="M642" t="s">
        <v>77</v>
      </c>
      <c r="N642" t="s">
        <v>3091</v>
      </c>
      <c r="O642" t="s">
        <v>74</v>
      </c>
      <c r="P642" t="s">
        <v>74</v>
      </c>
      <c r="Q642" t="s">
        <v>74</v>
      </c>
      <c r="R642" t="s">
        <v>74</v>
      </c>
      <c r="S642" t="s">
        <v>74</v>
      </c>
      <c r="T642" t="s">
        <v>74</v>
      </c>
      <c r="U642" t="s">
        <v>8763</v>
      </c>
      <c r="V642" t="s">
        <v>8764</v>
      </c>
      <c r="W642" t="s">
        <v>8765</v>
      </c>
      <c r="X642" t="s">
        <v>8766</v>
      </c>
      <c r="Y642" t="s">
        <v>8767</v>
      </c>
      <c r="Z642" t="s">
        <v>74</v>
      </c>
      <c r="AA642" t="s">
        <v>74</v>
      </c>
      <c r="AB642" t="s">
        <v>74</v>
      </c>
      <c r="AC642" t="s">
        <v>74</v>
      </c>
      <c r="AD642" t="s">
        <v>74</v>
      </c>
      <c r="AE642" t="s">
        <v>74</v>
      </c>
      <c r="AF642" t="s">
        <v>74</v>
      </c>
      <c r="AG642">
        <v>38</v>
      </c>
      <c r="AH642">
        <v>3</v>
      </c>
      <c r="AI642">
        <v>3</v>
      </c>
      <c r="AJ642">
        <v>0</v>
      </c>
      <c r="AK642">
        <v>1</v>
      </c>
      <c r="AL642" t="s">
        <v>508</v>
      </c>
      <c r="AM642" t="s">
        <v>150</v>
      </c>
      <c r="AN642" t="s">
        <v>509</v>
      </c>
      <c r="AO642" t="s">
        <v>5473</v>
      </c>
      <c r="AP642" t="s">
        <v>74</v>
      </c>
      <c r="AQ642" t="s">
        <v>74</v>
      </c>
      <c r="AR642" t="s">
        <v>5474</v>
      </c>
      <c r="AS642" t="s">
        <v>5475</v>
      </c>
      <c r="AT642" t="s">
        <v>8768</v>
      </c>
      <c r="AU642">
        <v>2001</v>
      </c>
      <c r="AV642">
        <v>105</v>
      </c>
      <c r="AW642">
        <v>16</v>
      </c>
      <c r="AX642" t="s">
        <v>74</v>
      </c>
      <c r="AY642" t="s">
        <v>74</v>
      </c>
      <c r="AZ642" t="s">
        <v>74</v>
      </c>
      <c r="BA642" t="s">
        <v>74</v>
      </c>
      <c r="BB642">
        <v>3941</v>
      </c>
      <c r="BC642">
        <v>3946</v>
      </c>
      <c r="BD642" t="s">
        <v>74</v>
      </c>
      <c r="BE642" t="s">
        <v>8769</v>
      </c>
      <c r="BF642" t="str">
        <f>HYPERLINK("http://dx.doi.org/10.1021/jp003401+","http://dx.doi.org/10.1021/jp003401+")</f>
        <v>http://dx.doi.org/10.1021/jp003401+</v>
      </c>
      <c r="BG642" t="s">
        <v>74</v>
      </c>
      <c r="BH642" t="s">
        <v>74</v>
      </c>
      <c r="BI642">
        <v>6</v>
      </c>
      <c r="BJ642" t="s">
        <v>5478</v>
      </c>
      <c r="BK642" t="s">
        <v>88</v>
      </c>
      <c r="BL642" t="s">
        <v>5479</v>
      </c>
      <c r="BM642" t="s">
        <v>8770</v>
      </c>
      <c r="BN642" t="s">
        <v>74</v>
      </c>
      <c r="BO642" t="s">
        <v>74</v>
      </c>
      <c r="BP642" t="s">
        <v>74</v>
      </c>
      <c r="BQ642" t="s">
        <v>74</v>
      </c>
      <c r="BR642" t="s">
        <v>91</v>
      </c>
      <c r="BS642" t="s">
        <v>8771</v>
      </c>
      <c r="BT642" t="str">
        <f>HYPERLINK("https%3A%2F%2Fwww.webofscience.com%2Fwos%2Fwoscc%2Ffull-record%2FWOS:000168441700001","View Full Record in Web of Science")</f>
        <v>View Full Record in Web of Science</v>
      </c>
    </row>
    <row r="643" spans="1:72" x14ac:dyDescent="0.15">
      <c r="A643" t="s">
        <v>72</v>
      </c>
      <c r="B643" t="s">
        <v>8772</v>
      </c>
      <c r="C643" t="s">
        <v>74</v>
      </c>
      <c r="D643" t="s">
        <v>74</v>
      </c>
      <c r="E643" t="s">
        <v>74</v>
      </c>
      <c r="F643" t="s">
        <v>8772</v>
      </c>
      <c r="G643" t="s">
        <v>74</v>
      </c>
      <c r="H643" t="s">
        <v>74</v>
      </c>
      <c r="I643" t="s">
        <v>8773</v>
      </c>
      <c r="J643" t="s">
        <v>8774</v>
      </c>
      <c r="K643" t="s">
        <v>74</v>
      </c>
      <c r="L643" t="s">
        <v>74</v>
      </c>
      <c r="M643" t="s">
        <v>77</v>
      </c>
      <c r="N643" t="s">
        <v>120</v>
      </c>
      <c r="O643" t="s">
        <v>74</v>
      </c>
      <c r="P643" t="s">
        <v>74</v>
      </c>
      <c r="Q643" t="s">
        <v>74</v>
      </c>
      <c r="R643" t="s">
        <v>74</v>
      </c>
      <c r="S643" t="s">
        <v>74</v>
      </c>
      <c r="T643" t="s">
        <v>8775</v>
      </c>
      <c r="U643" t="s">
        <v>8776</v>
      </c>
      <c r="V643" t="s">
        <v>8777</v>
      </c>
      <c r="W643" t="s">
        <v>8778</v>
      </c>
      <c r="X643" t="s">
        <v>8779</v>
      </c>
      <c r="Y643" t="s">
        <v>8780</v>
      </c>
      <c r="Z643" t="s">
        <v>74</v>
      </c>
      <c r="AA643" t="s">
        <v>74</v>
      </c>
      <c r="AB643" t="s">
        <v>74</v>
      </c>
      <c r="AC643" t="s">
        <v>74</v>
      </c>
      <c r="AD643" t="s">
        <v>74</v>
      </c>
      <c r="AE643" t="s">
        <v>74</v>
      </c>
      <c r="AF643" t="s">
        <v>74</v>
      </c>
      <c r="AG643">
        <v>22</v>
      </c>
      <c r="AH643">
        <v>18</v>
      </c>
      <c r="AI643">
        <v>24</v>
      </c>
      <c r="AJ643">
        <v>0</v>
      </c>
      <c r="AK643">
        <v>9</v>
      </c>
      <c r="AL643" t="s">
        <v>4833</v>
      </c>
      <c r="AM643" t="s">
        <v>2093</v>
      </c>
      <c r="AN643" t="s">
        <v>2094</v>
      </c>
      <c r="AO643" t="s">
        <v>8781</v>
      </c>
      <c r="AP643" t="s">
        <v>74</v>
      </c>
      <c r="AQ643" t="s">
        <v>74</v>
      </c>
      <c r="AR643" t="s">
        <v>8782</v>
      </c>
      <c r="AS643" t="s">
        <v>8783</v>
      </c>
      <c r="AT643" t="s">
        <v>8784</v>
      </c>
      <c r="AU643">
        <v>2001</v>
      </c>
      <c r="AV643">
        <v>40</v>
      </c>
      <c r="AW643" t="s">
        <v>74</v>
      </c>
      <c r="AX643">
        <v>2</v>
      </c>
      <c r="AY643" t="s">
        <v>74</v>
      </c>
      <c r="AZ643" t="s">
        <v>74</v>
      </c>
      <c r="BA643" t="s">
        <v>74</v>
      </c>
      <c r="BB643">
        <v>93</v>
      </c>
      <c r="BC643">
        <v>101</v>
      </c>
      <c r="BD643" t="s">
        <v>74</v>
      </c>
      <c r="BE643" t="s">
        <v>8785</v>
      </c>
      <c r="BF643" t="str">
        <f>HYPERLINK("http://dx.doi.org/10.1046/j.1440-6055.2001.00216.x","http://dx.doi.org/10.1046/j.1440-6055.2001.00216.x")</f>
        <v>http://dx.doi.org/10.1046/j.1440-6055.2001.00216.x</v>
      </c>
      <c r="BG643" t="s">
        <v>74</v>
      </c>
      <c r="BH643" t="s">
        <v>74</v>
      </c>
      <c r="BI643">
        <v>9</v>
      </c>
      <c r="BJ643" t="s">
        <v>3220</v>
      </c>
      <c r="BK643" t="s">
        <v>88</v>
      </c>
      <c r="BL643" t="s">
        <v>3220</v>
      </c>
      <c r="BM643" t="s">
        <v>8786</v>
      </c>
      <c r="BN643" t="s">
        <v>74</v>
      </c>
      <c r="BO643" t="s">
        <v>74</v>
      </c>
      <c r="BP643" t="s">
        <v>74</v>
      </c>
      <c r="BQ643" t="s">
        <v>74</v>
      </c>
      <c r="BR643" t="s">
        <v>91</v>
      </c>
      <c r="BS643" t="s">
        <v>8787</v>
      </c>
      <c r="BT643" t="str">
        <f>HYPERLINK("https%3A%2F%2Fwww.webofscience.com%2Fwos%2Fwoscc%2Ffull-record%2FWOS:000169756000001","View Full Record in Web of Science")</f>
        <v>View Full Record in Web of Science</v>
      </c>
    </row>
    <row r="644" spans="1:72" x14ac:dyDescent="0.15">
      <c r="A644" t="s">
        <v>72</v>
      </c>
      <c r="B644" t="s">
        <v>8788</v>
      </c>
      <c r="C644" t="s">
        <v>74</v>
      </c>
      <c r="D644" t="s">
        <v>74</v>
      </c>
      <c r="E644" t="s">
        <v>74</v>
      </c>
      <c r="F644" t="s">
        <v>8788</v>
      </c>
      <c r="G644" t="s">
        <v>74</v>
      </c>
      <c r="H644" t="s">
        <v>74</v>
      </c>
      <c r="I644" t="s">
        <v>8789</v>
      </c>
      <c r="J644" t="s">
        <v>5650</v>
      </c>
      <c r="K644" t="s">
        <v>74</v>
      </c>
      <c r="L644" t="s">
        <v>74</v>
      </c>
      <c r="M644" t="s">
        <v>77</v>
      </c>
      <c r="N644" t="s">
        <v>120</v>
      </c>
      <c r="O644" t="s">
        <v>74</v>
      </c>
      <c r="P644" t="s">
        <v>74</v>
      </c>
      <c r="Q644" t="s">
        <v>74</v>
      </c>
      <c r="R644" t="s">
        <v>74</v>
      </c>
      <c r="S644" t="s">
        <v>74</v>
      </c>
      <c r="T644" t="s">
        <v>8790</v>
      </c>
      <c r="U644" t="s">
        <v>8791</v>
      </c>
      <c r="V644" t="s">
        <v>8792</v>
      </c>
      <c r="W644" t="s">
        <v>8793</v>
      </c>
      <c r="X644" t="s">
        <v>2257</v>
      </c>
      <c r="Y644" t="s">
        <v>8794</v>
      </c>
      <c r="Z644" t="s">
        <v>4972</v>
      </c>
      <c r="AA644" t="s">
        <v>8795</v>
      </c>
      <c r="AB644" t="s">
        <v>8796</v>
      </c>
      <c r="AC644" t="s">
        <v>74</v>
      </c>
      <c r="AD644" t="s">
        <v>74</v>
      </c>
      <c r="AE644" t="s">
        <v>74</v>
      </c>
      <c r="AF644" t="s">
        <v>74</v>
      </c>
      <c r="AG644">
        <v>22</v>
      </c>
      <c r="AH644">
        <v>7</v>
      </c>
      <c r="AI644">
        <v>7</v>
      </c>
      <c r="AJ644">
        <v>0</v>
      </c>
      <c r="AK644">
        <v>3</v>
      </c>
      <c r="AL644" t="s">
        <v>3761</v>
      </c>
      <c r="AM644" t="s">
        <v>1248</v>
      </c>
      <c r="AN644" t="s">
        <v>1249</v>
      </c>
      <c r="AO644" t="s">
        <v>5660</v>
      </c>
      <c r="AP644" t="s">
        <v>8797</v>
      </c>
      <c r="AQ644" t="s">
        <v>74</v>
      </c>
      <c r="AR644" t="s">
        <v>5661</v>
      </c>
      <c r="AS644" t="s">
        <v>5662</v>
      </c>
      <c r="AT644" t="s">
        <v>8784</v>
      </c>
      <c r="AU644">
        <v>2001</v>
      </c>
      <c r="AV644">
        <v>198</v>
      </c>
      <c r="AW644">
        <v>1</v>
      </c>
      <c r="AX644" t="s">
        <v>74</v>
      </c>
      <c r="AY644" t="s">
        <v>74</v>
      </c>
      <c r="AZ644" t="s">
        <v>74</v>
      </c>
      <c r="BA644" t="s">
        <v>74</v>
      </c>
      <c r="BB644">
        <v>49</v>
      </c>
      <c r="BC644">
        <v>55</v>
      </c>
      <c r="BD644" t="s">
        <v>74</v>
      </c>
      <c r="BE644" t="s">
        <v>8798</v>
      </c>
      <c r="BF644" t="str">
        <f>HYPERLINK("http://dx.doi.org/10.1111/j.1574-6968.2001.tb10618.x","http://dx.doi.org/10.1111/j.1574-6968.2001.tb10618.x")</f>
        <v>http://dx.doi.org/10.1111/j.1574-6968.2001.tb10618.x</v>
      </c>
      <c r="BG644" t="s">
        <v>74</v>
      </c>
      <c r="BH644" t="s">
        <v>74</v>
      </c>
      <c r="BI644">
        <v>7</v>
      </c>
      <c r="BJ644" t="s">
        <v>1196</v>
      </c>
      <c r="BK644" t="s">
        <v>88</v>
      </c>
      <c r="BL644" t="s">
        <v>1196</v>
      </c>
      <c r="BM644" t="s">
        <v>8799</v>
      </c>
      <c r="BN644">
        <v>11325553</v>
      </c>
      <c r="BO644" t="s">
        <v>171</v>
      </c>
      <c r="BP644" t="s">
        <v>74</v>
      </c>
      <c r="BQ644" t="s">
        <v>74</v>
      </c>
      <c r="BR644" t="s">
        <v>91</v>
      </c>
      <c r="BS644" t="s">
        <v>8800</v>
      </c>
      <c r="BT644" t="str">
        <f>HYPERLINK("https%3A%2F%2Fwww.webofscience.com%2Fwos%2Fwoscc%2Ffull-record%2FWOS:000168515500009","View Full Record in Web of Science")</f>
        <v>View Full Record in Web of Science</v>
      </c>
    </row>
    <row r="645" spans="1:72" x14ac:dyDescent="0.15">
      <c r="A645" t="s">
        <v>72</v>
      </c>
      <c r="B645" t="s">
        <v>8801</v>
      </c>
      <c r="C645" t="s">
        <v>74</v>
      </c>
      <c r="D645" t="s">
        <v>74</v>
      </c>
      <c r="E645" t="s">
        <v>74</v>
      </c>
      <c r="F645" t="s">
        <v>8801</v>
      </c>
      <c r="G645" t="s">
        <v>74</v>
      </c>
      <c r="H645" t="s">
        <v>74</v>
      </c>
      <c r="I645" t="s">
        <v>8802</v>
      </c>
      <c r="J645" t="s">
        <v>5629</v>
      </c>
      <c r="K645" t="s">
        <v>74</v>
      </c>
      <c r="L645" t="s">
        <v>74</v>
      </c>
      <c r="M645" t="s">
        <v>77</v>
      </c>
      <c r="N645" t="s">
        <v>120</v>
      </c>
      <c r="O645" t="s">
        <v>74</v>
      </c>
      <c r="P645" t="s">
        <v>74</v>
      </c>
      <c r="Q645" t="s">
        <v>74</v>
      </c>
      <c r="R645" t="s">
        <v>74</v>
      </c>
      <c r="S645" t="s">
        <v>74</v>
      </c>
      <c r="T645" t="s">
        <v>74</v>
      </c>
      <c r="U645" t="s">
        <v>8803</v>
      </c>
      <c r="V645" t="s">
        <v>8804</v>
      </c>
      <c r="W645" t="s">
        <v>8805</v>
      </c>
      <c r="X645" t="s">
        <v>8806</v>
      </c>
      <c r="Y645" t="s">
        <v>8807</v>
      </c>
      <c r="Z645" t="s">
        <v>74</v>
      </c>
      <c r="AA645" t="s">
        <v>8808</v>
      </c>
      <c r="AB645" t="s">
        <v>8809</v>
      </c>
      <c r="AC645" t="s">
        <v>74</v>
      </c>
      <c r="AD645" t="s">
        <v>74</v>
      </c>
      <c r="AE645" t="s">
        <v>74</v>
      </c>
      <c r="AF645" t="s">
        <v>74</v>
      </c>
      <c r="AG645">
        <v>45</v>
      </c>
      <c r="AH645">
        <v>10</v>
      </c>
      <c r="AI645">
        <v>15</v>
      </c>
      <c r="AJ645">
        <v>0</v>
      </c>
      <c r="AK645">
        <v>9</v>
      </c>
      <c r="AL645" t="s">
        <v>5636</v>
      </c>
      <c r="AM645" t="s">
        <v>5637</v>
      </c>
      <c r="AN645" t="s">
        <v>8810</v>
      </c>
      <c r="AO645" t="s">
        <v>5639</v>
      </c>
      <c r="AP645" t="s">
        <v>74</v>
      </c>
      <c r="AQ645" t="s">
        <v>74</v>
      </c>
      <c r="AR645" t="s">
        <v>5641</v>
      </c>
      <c r="AS645" t="s">
        <v>5642</v>
      </c>
      <c r="AT645" t="s">
        <v>8784</v>
      </c>
      <c r="AU645">
        <v>2001</v>
      </c>
      <c r="AV645">
        <v>276</v>
      </c>
      <c r="AW645">
        <v>16</v>
      </c>
      <c r="AX645" t="s">
        <v>74</v>
      </c>
      <c r="AY645" t="s">
        <v>74</v>
      </c>
      <c r="AZ645" t="s">
        <v>74</v>
      </c>
      <c r="BA645" t="s">
        <v>74</v>
      </c>
      <c r="BB645">
        <v>12691</v>
      </c>
      <c r="BC645">
        <v>12696</v>
      </c>
      <c r="BD645" t="s">
        <v>74</v>
      </c>
      <c r="BE645" t="s">
        <v>8811</v>
      </c>
      <c r="BF645" t="str">
        <f>HYPERLINK("http://dx.doi.org/10.1074/jbc.M100155200","http://dx.doi.org/10.1074/jbc.M100155200")</f>
        <v>http://dx.doi.org/10.1074/jbc.M100155200</v>
      </c>
      <c r="BG645" t="s">
        <v>74</v>
      </c>
      <c r="BH645" t="s">
        <v>74</v>
      </c>
      <c r="BI645">
        <v>6</v>
      </c>
      <c r="BJ645" t="s">
        <v>2248</v>
      </c>
      <c r="BK645" t="s">
        <v>88</v>
      </c>
      <c r="BL645" t="s">
        <v>2248</v>
      </c>
      <c r="BM645" t="s">
        <v>8812</v>
      </c>
      <c r="BN645">
        <v>11279019</v>
      </c>
      <c r="BO645" t="s">
        <v>359</v>
      </c>
      <c r="BP645" t="s">
        <v>74</v>
      </c>
      <c r="BQ645" t="s">
        <v>74</v>
      </c>
      <c r="BR645" t="s">
        <v>91</v>
      </c>
      <c r="BS645" t="s">
        <v>8813</v>
      </c>
      <c r="BT645" t="str">
        <f>HYPERLINK("https%3A%2F%2Fwww.webofscience.com%2Fwos%2Fwoscc%2Ffull-record%2FWOS:000168198600031","View Full Record in Web of Science")</f>
        <v>View Full Record in Web of Science</v>
      </c>
    </row>
    <row r="646" spans="1:72" x14ac:dyDescent="0.15">
      <c r="A646" t="s">
        <v>72</v>
      </c>
      <c r="B646" t="s">
        <v>8814</v>
      </c>
      <c r="C646" t="s">
        <v>74</v>
      </c>
      <c r="D646" t="s">
        <v>74</v>
      </c>
      <c r="E646" t="s">
        <v>74</v>
      </c>
      <c r="F646" t="s">
        <v>8814</v>
      </c>
      <c r="G646" t="s">
        <v>74</v>
      </c>
      <c r="H646" t="s">
        <v>74</v>
      </c>
      <c r="I646" t="s">
        <v>8815</v>
      </c>
      <c r="J646" t="s">
        <v>8816</v>
      </c>
      <c r="K646" t="s">
        <v>74</v>
      </c>
      <c r="L646" t="s">
        <v>74</v>
      </c>
      <c r="M646" t="s">
        <v>77</v>
      </c>
      <c r="N646" t="s">
        <v>120</v>
      </c>
      <c r="O646" t="s">
        <v>74</v>
      </c>
      <c r="P646" t="s">
        <v>74</v>
      </c>
      <c r="Q646" t="s">
        <v>74</v>
      </c>
      <c r="R646" t="s">
        <v>74</v>
      </c>
      <c r="S646" t="s">
        <v>74</v>
      </c>
      <c r="T646" t="s">
        <v>8817</v>
      </c>
      <c r="U646" t="s">
        <v>8818</v>
      </c>
      <c r="V646" t="s">
        <v>8819</v>
      </c>
      <c r="W646" t="s">
        <v>8820</v>
      </c>
      <c r="X646" t="s">
        <v>786</v>
      </c>
      <c r="Y646" t="s">
        <v>8821</v>
      </c>
      <c r="Z646" t="s">
        <v>8822</v>
      </c>
      <c r="AA646" t="s">
        <v>8823</v>
      </c>
      <c r="AB646" t="s">
        <v>8824</v>
      </c>
      <c r="AC646" t="s">
        <v>74</v>
      </c>
      <c r="AD646" t="s">
        <v>74</v>
      </c>
      <c r="AE646" t="s">
        <v>74</v>
      </c>
      <c r="AF646" t="s">
        <v>74</v>
      </c>
      <c r="AG646">
        <v>72</v>
      </c>
      <c r="AH646">
        <v>11</v>
      </c>
      <c r="AI646">
        <v>11</v>
      </c>
      <c r="AJ646">
        <v>1</v>
      </c>
      <c r="AK646">
        <v>11</v>
      </c>
      <c r="AL646" t="s">
        <v>8825</v>
      </c>
      <c r="AM646" t="s">
        <v>8826</v>
      </c>
      <c r="AN646" t="s">
        <v>8827</v>
      </c>
      <c r="AO646" t="s">
        <v>8828</v>
      </c>
      <c r="AP646" t="s">
        <v>8829</v>
      </c>
      <c r="AQ646" t="s">
        <v>74</v>
      </c>
      <c r="AR646" t="s">
        <v>8830</v>
      </c>
      <c r="AS646" t="s">
        <v>8831</v>
      </c>
      <c r="AT646" t="s">
        <v>8832</v>
      </c>
      <c r="AU646">
        <v>2001</v>
      </c>
      <c r="AV646">
        <v>7</v>
      </c>
      <c r="AW646">
        <v>8</v>
      </c>
      <c r="AX646" t="s">
        <v>74</v>
      </c>
      <c r="AY646" t="s">
        <v>74</v>
      </c>
      <c r="AZ646" t="s">
        <v>74</v>
      </c>
      <c r="BA646" t="s">
        <v>74</v>
      </c>
      <c r="BB646">
        <v>1662</v>
      </c>
      <c r="BC646">
        <v>1669</v>
      </c>
      <c r="BD646" t="s">
        <v>74</v>
      </c>
      <c r="BE646" t="s">
        <v>8833</v>
      </c>
      <c r="BF646" t="str">
        <f>HYPERLINK("http://dx.doi.org/10.1002/1521-3765(20010417)7:8&lt;1662::AID-CHEM16620&gt;3.0.CO;2-P","http://dx.doi.org/10.1002/1521-3765(20010417)7:8&lt;1662::AID-CHEM16620&gt;3.0.CO;2-P")</f>
        <v>http://dx.doi.org/10.1002/1521-3765(20010417)7:8&lt;1662::AID-CHEM16620&gt;3.0.CO;2-P</v>
      </c>
      <c r="BG646" t="s">
        <v>74</v>
      </c>
      <c r="BH646" t="s">
        <v>74</v>
      </c>
      <c r="BI646">
        <v>8</v>
      </c>
      <c r="BJ646" t="s">
        <v>1761</v>
      </c>
      <c r="BK646" t="s">
        <v>88</v>
      </c>
      <c r="BL646" t="s">
        <v>517</v>
      </c>
      <c r="BM646" t="s">
        <v>8834</v>
      </c>
      <c r="BN646">
        <v>11349907</v>
      </c>
      <c r="BO646" t="s">
        <v>74</v>
      </c>
      <c r="BP646" t="s">
        <v>74</v>
      </c>
      <c r="BQ646" t="s">
        <v>74</v>
      </c>
      <c r="BR646" t="s">
        <v>91</v>
      </c>
      <c r="BS646" t="s">
        <v>8835</v>
      </c>
      <c r="BT646" t="str">
        <f>HYPERLINK("https%3A%2F%2Fwww.webofscience.com%2Fwos%2Fwoscc%2Ffull-record%2FWOS:000168368500012","View Full Record in Web of Science")</f>
        <v>View Full Record in Web of Science</v>
      </c>
    </row>
    <row r="647" spans="1:72" x14ac:dyDescent="0.15">
      <c r="A647" t="s">
        <v>72</v>
      </c>
      <c r="B647" t="s">
        <v>8836</v>
      </c>
      <c r="C647" t="s">
        <v>74</v>
      </c>
      <c r="D647" t="s">
        <v>74</v>
      </c>
      <c r="E647" t="s">
        <v>74</v>
      </c>
      <c r="F647" t="s">
        <v>8836</v>
      </c>
      <c r="G647" t="s">
        <v>74</v>
      </c>
      <c r="H647" t="s">
        <v>74</v>
      </c>
      <c r="I647" t="s">
        <v>8837</v>
      </c>
      <c r="J647" t="s">
        <v>522</v>
      </c>
      <c r="K647" t="s">
        <v>74</v>
      </c>
      <c r="L647" t="s">
        <v>74</v>
      </c>
      <c r="M647" t="s">
        <v>77</v>
      </c>
      <c r="N647" t="s">
        <v>120</v>
      </c>
      <c r="O647" t="s">
        <v>74</v>
      </c>
      <c r="P647" t="s">
        <v>74</v>
      </c>
      <c r="Q647" t="s">
        <v>74</v>
      </c>
      <c r="R647" t="s">
        <v>74</v>
      </c>
      <c r="S647" t="s">
        <v>74</v>
      </c>
      <c r="T647" t="s">
        <v>74</v>
      </c>
      <c r="U647" t="s">
        <v>8838</v>
      </c>
      <c r="V647" t="s">
        <v>8839</v>
      </c>
      <c r="W647" t="s">
        <v>8840</v>
      </c>
      <c r="X647" t="s">
        <v>8841</v>
      </c>
      <c r="Y647" t="s">
        <v>3374</v>
      </c>
      <c r="Z647" t="s">
        <v>8842</v>
      </c>
      <c r="AA647" t="s">
        <v>74</v>
      </c>
      <c r="AB647" t="s">
        <v>1994</v>
      </c>
      <c r="AC647" t="s">
        <v>74</v>
      </c>
      <c r="AD647" t="s">
        <v>74</v>
      </c>
      <c r="AE647" t="s">
        <v>74</v>
      </c>
      <c r="AF647" t="s">
        <v>74</v>
      </c>
      <c r="AG647">
        <v>42</v>
      </c>
      <c r="AH647">
        <v>14</v>
      </c>
      <c r="AI647">
        <v>16</v>
      </c>
      <c r="AJ647">
        <v>0</v>
      </c>
      <c r="AK647">
        <v>4</v>
      </c>
      <c r="AL647" t="s">
        <v>149</v>
      </c>
      <c r="AM647" t="s">
        <v>150</v>
      </c>
      <c r="AN647" t="s">
        <v>151</v>
      </c>
      <c r="AO647" t="s">
        <v>531</v>
      </c>
      <c r="AP647" t="s">
        <v>532</v>
      </c>
      <c r="AQ647" t="s">
        <v>74</v>
      </c>
      <c r="AR647" t="s">
        <v>533</v>
      </c>
      <c r="AS647" t="s">
        <v>534</v>
      </c>
      <c r="AT647" t="s">
        <v>8843</v>
      </c>
      <c r="AU647">
        <v>2001</v>
      </c>
      <c r="AV647">
        <v>106</v>
      </c>
      <c r="AW647" t="s">
        <v>8844</v>
      </c>
      <c r="AX647" t="s">
        <v>74</v>
      </c>
      <c r="AY647" t="s">
        <v>74</v>
      </c>
      <c r="AZ647" t="s">
        <v>74</v>
      </c>
      <c r="BA647" t="s">
        <v>74</v>
      </c>
      <c r="BB647">
        <v>7291</v>
      </c>
      <c r="BC647">
        <v>7311</v>
      </c>
      <c r="BD647" t="s">
        <v>74</v>
      </c>
      <c r="BE647" t="s">
        <v>8845</v>
      </c>
      <c r="BF647" t="str">
        <f>HYPERLINK("http://dx.doi.org/10.1029/2000JD900544","http://dx.doi.org/10.1029/2000JD900544")</f>
        <v>http://dx.doi.org/10.1029/2000JD900544</v>
      </c>
      <c r="BG647" t="s">
        <v>74</v>
      </c>
      <c r="BH647" t="s">
        <v>74</v>
      </c>
      <c r="BI647">
        <v>21</v>
      </c>
      <c r="BJ647" t="s">
        <v>538</v>
      </c>
      <c r="BK647" t="s">
        <v>88</v>
      </c>
      <c r="BL647" t="s">
        <v>538</v>
      </c>
      <c r="BM647" t="s">
        <v>8846</v>
      </c>
      <c r="BN647" t="s">
        <v>74</v>
      </c>
      <c r="BO647" t="s">
        <v>74</v>
      </c>
      <c r="BP647" t="s">
        <v>74</v>
      </c>
      <c r="BQ647" t="s">
        <v>74</v>
      </c>
      <c r="BR647" t="s">
        <v>91</v>
      </c>
      <c r="BS647" t="s">
        <v>8847</v>
      </c>
      <c r="BT647" t="str">
        <f>HYPERLINK("https%3A%2F%2Fwww.webofscience.com%2Fwos%2Fwoscc%2Ffull-record%2FWOS:000168189400010","View Full Record in Web of Science")</f>
        <v>View Full Record in Web of Science</v>
      </c>
    </row>
    <row r="648" spans="1:72" x14ac:dyDescent="0.15">
      <c r="A648" t="s">
        <v>72</v>
      </c>
      <c r="B648" t="s">
        <v>8848</v>
      </c>
      <c r="C648" t="s">
        <v>74</v>
      </c>
      <c r="D648" t="s">
        <v>74</v>
      </c>
      <c r="E648" t="s">
        <v>74</v>
      </c>
      <c r="F648" t="s">
        <v>8848</v>
      </c>
      <c r="G648" t="s">
        <v>74</v>
      </c>
      <c r="H648" t="s">
        <v>74</v>
      </c>
      <c r="I648" t="s">
        <v>8849</v>
      </c>
      <c r="J648" t="s">
        <v>478</v>
      </c>
      <c r="K648" t="s">
        <v>74</v>
      </c>
      <c r="L648" t="s">
        <v>74</v>
      </c>
      <c r="M648" t="s">
        <v>77</v>
      </c>
      <c r="N648" t="s">
        <v>120</v>
      </c>
      <c r="O648" t="s">
        <v>74</v>
      </c>
      <c r="P648" t="s">
        <v>74</v>
      </c>
      <c r="Q648" t="s">
        <v>74</v>
      </c>
      <c r="R648" t="s">
        <v>74</v>
      </c>
      <c r="S648" t="s">
        <v>74</v>
      </c>
      <c r="T648" t="s">
        <v>8850</v>
      </c>
      <c r="U648" t="s">
        <v>8851</v>
      </c>
      <c r="V648" t="s">
        <v>8852</v>
      </c>
      <c r="W648" t="s">
        <v>8853</v>
      </c>
      <c r="X648" t="s">
        <v>8854</v>
      </c>
      <c r="Y648" t="s">
        <v>8855</v>
      </c>
      <c r="Z648" t="s">
        <v>8856</v>
      </c>
      <c r="AA648" t="s">
        <v>8857</v>
      </c>
      <c r="AB648" t="s">
        <v>8858</v>
      </c>
      <c r="AC648" t="s">
        <v>74</v>
      </c>
      <c r="AD648" t="s">
        <v>74</v>
      </c>
      <c r="AE648" t="s">
        <v>74</v>
      </c>
      <c r="AF648" t="s">
        <v>74</v>
      </c>
      <c r="AG648">
        <v>47</v>
      </c>
      <c r="AH648">
        <v>183</v>
      </c>
      <c r="AI648">
        <v>201</v>
      </c>
      <c r="AJ648">
        <v>2</v>
      </c>
      <c r="AK648">
        <v>30</v>
      </c>
      <c r="AL648" t="s">
        <v>488</v>
      </c>
      <c r="AM648" t="s">
        <v>350</v>
      </c>
      <c r="AN648" t="s">
        <v>489</v>
      </c>
      <c r="AO648" t="s">
        <v>490</v>
      </c>
      <c r="AP648" t="s">
        <v>491</v>
      </c>
      <c r="AQ648" t="s">
        <v>74</v>
      </c>
      <c r="AR648" t="s">
        <v>492</v>
      </c>
      <c r="AS648" t="s">
        <v>493</v>
      </c>
      <c r="AT648" t="s">
        <v>8859</v>
      </c>
      <c r="AU648">
        <v>2001</v>
      </c>
      <c r="AV648">
        <v>186</v>
      </c>
      <c r="AW648" t="s">
        <v>451</v>
      </c>
      <c r="AX648" t="s">
        <v>74</v>
      </c>
      <c r="AY648" t="s">
        <v>74</v>
      </c>
      <c r="AZ648" t="s">
        <v>74</v>
      </c>
      <c r="BA648" t="s">
        <v>74</v>
      </c>
      <c r="BB648">
        <v>497</v>
      </c>
      <c r="BC648">
        <v>512</v>
      </c>
      <c r="BD648" t="s">
        <v>74</v>
      </c>
      <c r="BE648" t="s">
        <v>8860</v>
      </c>
      <c r="BF648" t="str">
        <f>HYPERLINK("http://dx.doi.org/10.1016/S0012-821X(01)00263-1","http://dx.doi.org/10.1016/S0012-821X(01)00263-1")</f>
        <v>http://dx.doi.org/10.1016/S0012-821X(01)00263-1</v>
      </c>
      <c r="BG648" t="s">
        <v>74</v>
      </c>
      <c r="BH648" t="s">
        <v>74</v>
      </c>
      <c r="BI648">
        <v>16</v>
      </c>
      <c r="BJ648" t="s">
        <v>388</v>
      </c>
      <c r="BK648" t="s">
        <v>88</v>
      </c>
      <c r="BL648" t="s">
        <v>388</v>
      </c>
      <c r="BM648" t="s">
        <v>8861</v>
      </c>
      <c r="BN648" t="s">
        <v>74</v>
      </c>
      <c r="BO648" t="s">
        <v>74</v>
      </c>
      <c r="BP648" t="s">
        <v>74</v>
      </c>
      <c r="BQ648" t="s">
        <v>74</v>
      </c>
      <c r="BR648" t="s">
        <v>91</v>
      </c>
      <c r="BS648" t="s">
        <v>8862</v>
      </c>
      <c r="BT648" t="str">
        <f>HYPERLINK("https%3A%2F%2Fwww.webofscience.com%2Fwos%2Fwoscc%2Ffull-record%2FWOS:000168318500013","View Full Record in Web of Science")</f>
        <v>View Full Record in Web of Science</v>
      </c>
    </row>
    <row r="649" spans="1:72" x14ac:dyDescent="0.15">
      <c r="A649" t="s">
        <v>72</v>
      </c>
      <c r="B649" t="s">
        <v>8863</v>
      </c>
      <c r="C649" t="s">
        <v>74</v>
      </c>
      <c r="D649" t="s">
        <v>74</v>
      </c>
      <c r="E649" t="s">
        <v>74</v>
      </c>
      <c r="F649" t="s">
        <v>8863</v>
      </c>
      <c r="G649" t="s">
        <v>74</v>
      </c>
      <c r="H649" t="s">
        <v>74</v>
      </c>
      <c r="I649" t="s">
        <v>8864</v>
      </c>
      <c r="J649" t="s">
        <v>613</v>
      </c>
      <c r="K649" t="s">
        <v>74</v>
      </c>
      <c r="L649" t="s">
        <v>74</v>
      </c>
      <c r="M649" t="s">
        <v>77</v>
      </c>
      <c r="N649" t="s">
        <v>120</v>
      </c>
      <c r="O649" t="s">
        <v>74</v>
      </c>
      <c r="P649" t="s">
        <v>74</v>
      </c>
      <c r="Q649" t="s">
        <v>74</v>
      </c>
      <c r="R649" t="s">
        <v>74</v>
      </c>
      <c r="S649" t="s">
        <v>74</v>
      </c>
      <c r="T649" t="s">
        <v>74</v>
      </c>
      <c r="U649" t="s">
        <v>8865</v>
      </c>
      <c r="V649" t="s">
        <v>8866</v>
      </c>
      <c r="W649" t="s">
        <v>8867</v>
      </c>
      <c r="X649" t="s">
        <v>8868</v>
      </c>
      <c r="Y649" t="s">
        <v>8869</v>
      </c>
      <c r="Z649" t="s">
        <v>74</v>
      </c>
      <c r="AA649" t="s">
        <v>8870</v>
      </c>
      <c r="AB649" t="s">
        <v>8871</v>
      </c>
      <c r="AC649" t="s">
        <v>74</v>
      </c>
      <c r="AD649" t="s">
        <v>74</v>
      </c>
      <c r="AE649" t="s">
        <v>74</v>
      </c>
      <c r="AF649" t="s">
        <v>74</v>
      </c>
      <c r="AG649">
        <v>11</v>
      </c>
      <c r="AH649">
        <v>39</v>
      </c>
      <c r="AI649">
        <v>42</v>
      </c>
      <c r="AJ649">
        <v>1</v>
      </c>
      <c r="AK649">
        <v>9</v>
      </c>
      <c r="AL649" t="s">
        <v>149</v>
      </c>
      <c r="AM649" t="s">
        <v>150</v>
      </c>
      <c r="AN649" t="s">
        <v>151</v>
      </c>
      <c r="AO649" t="s">
        <v>619</v>
      </c>
      <c r="AP649" t="s">
        <v>74</v>
      </c>
      <c r="AQ649" t="s">
        <v>74</v>
      </c>
      <c r="AR649" t="s">
        <v>620</v>
      </c>
      <c r="AS649" t="s">
        <v>621</v>
      </c>
      <c r="AT649" t="s">
        <v>8859</v>
      </c>
      <c r="AU649">
        <v>2001</v>
      </c>
      <c r="AV649">
        <v>28</v>
      </c>
      <c r="AW649">
        <v>8</v>
      </c>
      <c r="AX649" t="s">
        <v>74</v>
      </c>
      <c r="AY649" t="s">
        <v>74</v>
      </c>
      <c r="AZ649" t="s">
        <v>74</v>
      </c>
      <c r="BA649" t="s">
        <v>74</v>
      </c>
      <c r="BB649">
        <v>1475</v>
      </c>
      <c r="BC649">
        <v>1478</v>
      </c>
      <c r="BD649" t="s">
        <v>74</v>
      </c>
      <c r="BE649" t="s">
        <v>8872</v>
      </c>
      <c r="BF649" t="str">
        <f>HYPERLINK("http://dx.doi.org/10.1029/2000GL012576","http://dx.doi.org/10.1029/2000GL012576")</f>
        <v>http://dx.doi.org/10.1029/2000GL012576</v>
      </c>
      <c r="BG649" t="s">
        <v>74</v>
      </c>
      <c r="BH649" t="s">
        <v>74</v>
      </c>
      <c r="BI649">
        <v>4</v>
      </c>
      <c r="BJ649" t="s">
        <v>300</v>
      </c>
      <c r="BK649" t="s">
        <v>88</v>
      </c>
      <c r="BL649" t="s">
        <v>113</v>
      </c>
      <c r="BM649" t="s">
        <v>8873</v>
      </c>
      <c r="BN649" t="s">
        <v>74</v>
      </c>
      <c r="BO649" t="s">
        <v>761</v>
      </c>
      <c r="BP649" t="s">
        <v>74</v>
      </c>
      <c r="BQ649" t="s">
        <v>74</v>
      </c>
      <c r="BR649" t="s">
        <v>91</v>
      </c>
      <c r="BS649" t="s">
        <v>8874</v>
      </c>
      <c r="BT649" t="str">
        <f>HYPERLINK("https%3A%2F%2Fwww.webofscience.com%2Fwos%2Fwoscc%2Ffull-record%2FWOS:000168066100018","View Full Record in Web of Science")</f>
        <v>View Full Record in Web of Science</v>
      </c>
    </row>
    <row r="650" spans="1:72" x14ac:dyDescent="0.15">
      <c r="A650" t="s">
        <v>72</v>
      </c>
      <c r="B650" t="s">
        <v>8875</v>
      </c>
      <c r="C650" t="s">
        <v>74</v>
      </c>
      <c r="D650" t="s">
        <v>74</v>
      </c>
      <c r="E650" t="s">
        <v>74</v>
      </c>
      <c r="F650" t="s">
        <v>8875</v>
      </c>
      <c r="G650" t="s">
        <v>74</v>
      </c>
      <c r="H650" t="s">
        <v>74</v>
      </c>
      <c r="I650" t="s">
        <v>8876</v>
      </c>
      <c r="J650" t="s">
        <v>613</v>
      </c>
      <c r="K650" t="s">
        <v>74</v>
      </c>
      <c r="L650" t="s">
        <v>74</v>
      </c>
      <c r="M650" t="s">
        <v>77</v>
      </c>
      <c r="N650" t="s">
        <v>120</v>
      </c>
      <c r="O650" t="s">
        <v>74</v>
      </c>
      <c r="P650" t="s">
        <v>74</v>
      </c>
      <c r="Q650" t="s">
        <v>74</v>
      </c>
      <c r="R650" t="s">
        <v>74</v>
      </c>
      <c r="S650" t="s">
        <v>74</v>
      </c>
      <c r="T650" t="s">
        <v>74</v>
      </c>
      <c r="U650" t="s">
        <v>8877</v>
      </c>
      <c r="V650" t="s">
        <v>8878</v>
      </c>
      <c r="W650" t="s">
        <v>8879</v>
      </c>
      <c r="X650" t="s">
        <v>7118</v>
      </c>
      <c r="Y650" t="s">
        <v>8880</v>
      </c>
      <c r="Z650" t="s">
        <v>74</v>
      </c>
      <c r="AA650" t="s">
        <v>8881</v>
      </c>
      <c r="AB650" t="s">
        <v>8882</v>
      </c>
      <c r="AC650" t="s">
        <v>74</v>
      </c>
      <c r="AD650" t="s">
        <v>74</v>
      </c>
      <c r="AE650" t="s">
        <v>74</v>
      </c>
      <c r="AF650" t="s">
        <v>74</v>
      </c>
      <c r="AG650">
        <v>19</v>
      </c>
      <c r="AH650">
        <v>146</v>
      </c>
      <c r="AI650">
        <v>160</v>
      </c>
      <c r="AJ650">
        <v>0</v>
      </c>
      <c r="AK650">
        <v>27</v>
      </c>
      <c r="AL650" t="s">
        <v>149</v>
      </c>
      <c r="AM650" t="s">
        <v>150</v>
      </c>
      <c r="AN650" t="s">
        <v>151</v>
      </c>
      <c r="AO650" t="s">
        <v>619</v>
      </c>
      <c r="AP650" t="s">
        <v>74</v>
      </c>
      <c r="AQ650" t="s">
        <v>74</v>
      </c>
      <c r="AR650" t="s">
        <v>620</v>
      </c>
      <c r="AS650" t="s">
        <v>621</v>
      </c>
      <c r="AT650" t="s">
        <v>8859</v>
      </c>
      <c r="AU650">
        <v>2001</v>
      </c>
      <c r="AV650">
        <v>28</v>
      </c>
      <c r="AW650">
        <v>8</v>
      </c>
      <c r="AX650" t="s">
        <v>74</v>
      </c>
      <c r="AY650" t="s">
        <v>74</v>
      </c>
      <c r="AZ650" t="s">
        <v>74</v>
      </c>
      <c r="BA650" t="s">
        <v>74</v>
      </c>
      <c r="BB650">
        <v>1499</v>
      </c>
      <c r="BC650">
        <v>1502</v>
      </c>
      <c r="BD650" t="s">
        <v>74</v>
      </c>
      <c r="BE650" t="s">
        <v>8883</v>
      </c>
      <c r="BF650" t="str">
        <f>HYPERLINK("http://dx.doi.org/10.1029/2000GL011956","http://dx.doi.org/10.1029/2000GL011956")</f>
        <v>http://dx.doi.org/10.1029/2000GL011956</v>
      </c>
      <c r="BG650" t="s">
        <v>74</v>
      </c>
      <c r="BH650" t="s">
        <v>74</v>
      </c>
      <c r="BI650">
        <v>4</v>
      </c>
      <c r="BJ650" t="s">
        <v>300</v>
      </c>
      <c r="BK650" t="s">
        <v>88</v>
      </c>
      <c r="BL650" t="s">
        <v>113</v>
      </c>
      <c r="BM650" t="s">
        <v>8873</v>
      </c>
      <c r="BN650" t="s">
        <v>74</v>
      </c>
      <c r="BO650" t="s">
        <v>74</v>
      </c>
      <c r="BP650" t="s">
        <v>74</v>
      </c>
      <c r="BQ650" t="s">
        <v>74</v>
      </c>
      <c r="BR650" t="s">
        <v>91</v>
      </c>
      <c r="BS650" t="s">
        <v>8884</v>
      </c>
      <c r="BT650" t="str">
        <f>HYPERLINK("https%3A%2F%2Fwww.webofscience.com%2Fwos%2Fwoscc%2Ffull-record%2FWOS:000168066100024","View Full Record in Web of Science")</f>
        <v>View Full Record in Web of Science</v>
      </c>
    </row>
    <row r="651" spans="1:72" x14ac:dyDescent="0.15">
      <c r="A651" t="s">
        <v>72</v>
      </c>
      <c r="B651" t="s">
        <v>8885</v>
      </c>
      <c r="C651" t="s">
        <v>74</v>
      </c>
      <c r="D651" t="s">
        <v>74</v>
      </c>
      <c r="E651" t="s">
        <v>74</v>
      </c>
      <c r="F651" t="s">
        <v>8885</v>
      </c>
      <c r="G651" t="s">
        <v>74</v>
      </c>
      <c r="H651" t="s">
        <v>74</v>
      </c>
      <c r="I651" t="s">
        <v>8886</v>
      </c>
      <c r="J651" t="s">
        <v>613</v>
      </c>
      <c r="K651" t="s">
        <v>74</v>
      </c>
      <c r="L651" t="s">
        <v>74</v>
      </c>
      <c r="M651" t="s">
        <v>77</v>
      </c>
      <c r="N651" t="s">
        <v>120</v>
      </c>
      <c r="O651" t="s">
        <v>74</v>
      </c>
      <c r="P651" t="s">
        <v>74</v>
      </c>
      <c r="Q651" t="s">
        <v>74</v>
      </c>
      <c r="R651" t="s">
        <v>74</v>
      </c>
      <c r="S651" t="s">
        <v>74</v>
      </c>
      <c r="T651" t="s">
        <v>74</v>
      </c>
      <c r="U651" t="s">
        <v>8887</v>
      </c>
      <c r="V651" t="s">
        <v>8888</v>
      </c>
      <c r="W651" t="s">
        <v>8889</v>
      </c>
      <c r="X651" t="s">
        <v>8890</v>
      </c>
      <c r="Y651" t="s">
        <v>8891</v>
      </c>
      <c r="Z651" t="s">
        <v>74</v>
      </c>
      <c r="AA651" t="s">
        <v>8892</v>
      </c>
      <c r="AB651" t="s">
        <v>8893</v>
      </c>
      <c r="AC651" t="s">
        <v>74</v>
      </c>
      <c r="AD651" t="s">
        <v>74</v>
      </c>
      <c r="AE651" t="s">
        <v>74</v>
      </c>
      <c r="AF651" t="s">
        <v>74</v>
      </c>
      <c r="AG651">
        <v>22</v>
      </c>
      <c r="AH651">
        <v>34</v>
      </c>
      <c r="AI651">
        <v>40</v>
      </c>
      <c r="AJ651">
        <v>0</v>
      </c>
      <c r="AK651">
        <v>4</v>
      </c>
      <c r="AL651" t="s">
        <v>149</v>
      </c>
      <c r="AM651" t="s">
        <v>150</v>
      </c>
      <c r="AN651" t="s">
        <v>151</v>
      </c>
      <c r="AO651" t="s">
        <v>619</v>
      </c>
      <c r="AP651" t="s">
        <v>74</v>
      </c>
      <c r="AQ651" t="s">
        <v>74</v>
      </c>
      <c r="AR651" t="s">
        <v>620</v>
      </c>
      <c r="AS651" t="s">
        <v>621</v>
      </c>
      <c r="AT651" t="s">
        <v>8859</v>
      </c>
      <c r="AU651">
        <v>2001</v>
      </c>
      <c r="AV651">
        <v>28</v>
      </c>
      <c r="AW651">
        <v>8</v>
      </c>
      <c r="AX651" t="s">
        <v>74</v>
      </c>
      <c r="AY651" t="s">
        <v>74</v>
      </c>
      <c r="AZ651" t="s">
        <v>74</v>
      </c>
      <c r="BA651" t="s">
        <v>74</v>
      </c>
      <c r="BB651">
        <v>1547</v>
      </c>
      <c r="BC651">
        <v>1550</v>
      </c>
      <c r="BD651" t="s">
        <v>74</v>
      </c>
      <c r="BE651" t="s">
        <v>8894</v>
      </c>
      <c r="BF651" t="str">
        <f>HYPERLINK("http://dx.doi.org/10.1029/2000GL012552","http://dx.doi.org/10.1029/2000GL012552")</f>
        <v>http://dx.doi.org/10.1029/2000GL012552</v>
      </c>
      <c r="BG651" t="s">
        <v>74</v>
      </c>
      <c r="BH651" t="s">
        <v>74</v>
      </c>
      <c r="BI651">
        <v>4</v>
      </c>
      <c r="BJ651" t="s">
        <v>300</v>
      </c>
      <c r="BK651" t="s">
        <v>88</v>
      </c>
      <c r="BL651" t="s">
        <v>113</v>
      </c>
      <c r="BM651" t="s">
        <v>8873</v>
      </c>
      <c r="BN651" t="s">
        <v>74</v>
      </c>
      <c r="BO651" t="s">
        <v>171</v>
      </c>
      <c r="BP651" t="s">
        <v>74</v>
      </c>
      <c r="BQ651" t="s">
        <v>74</v>
      </c>
      <c r="BR651" t="s">
        <v>91</v>
      </c>
      <c r="BS651" t="s">
        <v>8895</v>
      </c>
      <c r="BT651" t="str">
        <f>HYPERLINK("https%3A%2F%2Fwww.webofscience.com%2Fwos%2Fwoscc%2Ffull-record%2FWOS:000168066100036","View Full Record in Web of Science")</f>
        <v>View Full Record in Web of Science</v>
      </c>
    </row>
    <row r="652" spans="1:72" x14ac:dyDescent="0.15">
      <c r="A652" t="s">
        <v>72</v>
      </c>
      <c r="B652" t="s">
        <v>8896</v>
      </c>
      <c r="C652" t="s">
        <v>74</v>
      </c>
      <c r="D652" t="s">
        <v>74</v>
      </c>
      <c r="E652" t="s">
        <v>74</v>
      </c>
      <c r="F652" t="s">
        <v>8896</v>
      </c>
      <c r="G652" t="s">
        <v>74</v>
      </c>
      <c r="H652" t="s">
        <v>74</v>
      </c>
      <c r="I652" t="s">
        <v>8897</v>
      </c>
      <c r="J652" t="s">
        <v>613</v>
      </c>
      <c r="K652" t="s">
        <v>74</v>
      </c>
      <c r="L652" t="s">
        <v>74</v>
      </c>
      <c r="M652" t="s">
        <v>77</v>
      </c>
      <c r="N652" t="s">
        <v>120</v>
      </c>
      <c r="O652" t="s">
        <v>74</v>
      </c>
      <c r="P652" t="s">
        <v>74</v>
      </c>
      <c r="Q652" t="s">
        <v>74</v>
      </c>
      <c r="R652" t="s">
        <v>74</v>
      </c>
      <c r="S652" t="s">
        <v>74</v>
      </c>
      <c r="T652" t="s">
        <v>74</v>
      </c>
      <c r="U652" t="s">
        <v>8898</v>
      </c>
      <c r="V652" t="s">
        <v>8899</v>
      </c>
      <c r="W652" t="s">
        <v>8900</v>
      </c>
      <c r="X652" t="s">
        <v>7916</v>
      </c>
      <c r="Y652" t="s">
        <v>8901</v>
      </c>
      <c r="Z652" t="s">
        <v>8902</v>
      </c>
      <c r="AA652" t="s">
        <v>8903</v>
      </c>
      <c r="AB652" t="s">
        <v>8904</v>
      </c>
      <c r="AC652" t="s">
        <v>74</v>
      </c>
      <c r="AD652" t="s">
        <v>74</v>
      </c>
      <c r="AE652" t="s">
        <v>74</v>
      </c>
      <c r="AF652" t="s">
        <v>74</v>
      </c>
      <c r="AG652">
        <v>27</v>
      </c>
      <c r="AH652">
        <v>16</v>
      </c>
      <c r="AI652">
        <v>16</v>
      </c>
      <c r="AJ652">
        <v>0</v>
      </c>
      <c r="AK652">
        <v>3</v>
      </c>
      <c r="AL652" t="s">
        <v>149</v>
      </c>
      <c r="AM652" t="s">
        <v>150</v>
      </c>
      <c r="AN652" t="s">
        <v>151</v>
      </c>
      <c r="AO652" t="s">
        <v>619</v>
      </c>
      <c r="AP652" t="s">
        <v>1094</v>
      </c>
      <c r="AQ652" t="s">
        <v>74</v>
      </c>
      <c r="AR652" t="s">
        <v>620</v>
      </c>
      <c r="AS652" t="s">
        <v>621</v>
      </c>
      <c r="AT652" t="s">
        <v>8859</v>
      </c>
      <c r="AU652">
        <v>2001</v>
      </c>
      <c r="AV652">
        <v>28</v>
      </c>
      <c r="AW652">
        <v>8</v>
      </c>
      <c r="AX652" t="s">
        <v>74</v>
      </c>
      <c r="AY652" t="s">
        <v>74</v>
      </c>
      <c r="AZ652" t="s">
        <v>74</v>
      </c>
      <c r="BA652" t="s">
        <v>74</v>
      </c>
      <c r="BB652">
        <v>1595</v>
      </c>
      <c r="BC652">
        <v>1598</v>
      </c>
      <c r="BD652" t="s">
        <v>74</v>
      </c>
      <c r="BE652" t="s">
        <v>8905</v>
      </c>
      <c r="BF652" t="str">
        <f>HYPERLINK("http://dx.doi.org/10.1029/2000GL012368","http://dx.doi.org/10.1029/2000GL012368")</f>
        <v>http://dx.doi.org/10.1029/2000GL012368</v>
      </c>
      <c r="BG652" t="s">
        <v>74</v>
      </c>
      <c r="BH652" t="s">
        <v>74</v>
      </c>
      <c r="BI652">
        <v>4</v>
      </c>
      <c r="BJ652" t="s">
        <v>300</v>
      </c>
      <c r="BK652" t="s">
        <v>88</v>
      </c>
      <c r="BL652" t="s">
        <v>113</v>
      </c>
      <c r="BM652" t="s">
        <v>8873</v>
      </c>
      <c r="BN652" t="s">
        <v>74</v>
      </c>
      <c r="BO652" t="s">
        <v>907</v>
      </c>
      <c r="BP652" t="s">
        <v>74</v>
      </c>
      <c r="BQ652" t="s">
        <v>74</v>
      </c>
      <c r="BR652" t="s">
        <v>91</v>
      </c>
      <c r="BS652" t="s">
        <v>8906</v>
      </c>
      <c r="BT652" t="str">
        <f>HYPERLINK("https%3A%2F%2Fwww.webofscience.com%2Fwos%2Fwoscc%2Ffull-record%2FWOS:000168066100048","View Full Record in Web of Science")</f>
        <v>View Full Record in Web of Science</v>
      </c>
    </row>
    <row r="653" spans="1:72" x14ac:dyDescent="0.15">
      <c r="A653" t="s">
        <v>72</v>
      </c>
      <c r="B653" t="s">
        <v>8907</v>
      </c>
      <c r="C653" t="s">
        <v>74</v>
      </c>
      <c r="D653" t="s">
        <v>74</v>
      </c>
      <c r="E653" t="s">
        <v>74</v>
      </c>
      <c r="F653" t="s">
        <v>8907</v>
      </c>
      <c r="G653" t="s">
        <v>74</v>
      </c>
      <c r="H653" t="s">
        <v>74</v>
      </c>
      <c r="I653" t="s">
        <v>8908</v>
      </c>
      <c r="J653" t="s">
        <v>613</v>
      </c>
      <c r="K653" t="s">
        <v>74</v>
      </c>
      <c r="L653" t="s">
        <v>74</v>
      </c>
      <c r="M653" t="s">
        <v>77</v>
      </c>
      <c r="N653" t="s">
        <v>120</v>
      </c>
      <c r="O653" t="s">
        <v>74</v>
      </c>
      <c r="P653" t="s">
        <v>74</v>
      </c>
      <c r="Q653" t="s">
        <v>74</v>
      </c>
      <c r="R653" t="s">
        <v>74</v>
      </c>
      <c r="S653" t="s">
        <v>74</v>
      </c>
      <c r="T653" t="s">
        <v>74</v>
      </c>
      <c r="U653" t="s">
        <v>8909</v>
      </c>
      <c r="V653" t="s">
        <v>8910</v>
      </c>
      <c r="W653" t="s">
        <v>8911</v>
      </c>
      <c r="X653" t="s">
        <v>8912</v>
      </c>
      <c r="Y653" t="s">
        <v>8913</v>
      </c>
      <c r="Z653" t="s">
        <v>74</v>
      </c>
      <c r="AA653" t="s">
        <v>8914</v>
      </c>
      <c r="AB653" t="s">
        <v>8915</v>
      </c>
      <c r="AC653" t="s">
        <v>74</v>
      </c>
      <c r="AD653" t="s">
        <v>74</v>
      </c>
      <c r="AE653" t="s">
        <v>74</v>
      </c>
      <c r="AF653" t="s">
        <v>74</v>
      </c>
      <c r="AG653">
        <v>22</v>
      </c>
      <c r="AH653">
        <v>49</v>
      </c>
      <c r="AI653">
        <v>51</v>
      </c>
      <c r="AJ653">
        <v>0</v>
      </c>
      <c r="AK653">
        <v>9</v>
      </c>
      <c r="AL653" t="s">
        <v>149</v>
      </c>
      <c r="AM653" t="s">
        <v>150</v>
      </c>
      <c r="AN653" t="s">
        <v>151</v>
      </c>
      <c r="AO653" t="s">
        <v>619</v>
      </c>
      <c r="AP653" t="s">
        <v>74</v>
      </c>
      <c r="AQ653" t="s">
        <v>74</v>
      </c>
      <c r="AR653" t="s">
        <v>620</v>
      </c>
      <c r="AS653" t="s">
        <v>621</v>
      </c>
      <c r="AT653" t="s">
        <v>8859</v>
      </c>
      <c r="AU653">
        <v>2001</v>
      </c>
      <c r="AV653">
        <v>28</v>
      </c>
      <c r="AW653">
        <v>8</v>
      </c>
      <c r="AX653" t="s">
        <v>74</v>
      </c>
      <c r="AY653" t="s">
        <v>74</v>
      </c>
      <c r="AZ653" t="s">
        <v>74</v>
      </c>
      <c r="BA653" t="s">
        <v>74</v>
      </c>
      <c r="BB653">
        <v>1615</v>
      </c>
      <c r="BC653">
        <v>1618</v>
      </c>
      <c r="BD653" t="s">
        <v>74</v>
      </c>
      <c r="BE653" t="s">
        <v>8916</v>
      </c>
      <c r="BF653" t="str">
        <f>HYPERLINK("http://dx.doi.org/10.1029/2000GL011992","http://dx.doi.org/10.1029/2000GL011992")</f>
        <v>http://dx.doi.org/10.1029/2000GL011992</v>
      </c>
      <c r="BG653" t="s">
        <v>74</v>
      </c>
      <c r="BH653" t="s">
        <v>74</v>
      </c>
      <c r="BI653">
        <v>4</v>
      </c>
      <c r="BJ653" t="s">
        <v>300</v>
      </c>
      <c r="BK653" t="s">
        <v>88</v>
      </c>
      <c r="BL653" t="s">
        <v>113</v>
      </c>
      <c r="BM653" t="s">
        <v>8873</v>
      </c>
      <c r="BN653" t="s">
        <v>74</v>
      </c>
      <c r="BO653" t="s">
        <v>171</v>
      </c>
      <c r="BP653" t="s">
        <v>74</v>
      </c>
      <c r="BQ653" t="s">
        <v>74</v>
      </c>
      <c r="BR653" t="s">
        <v>91</v>
      </c>
      <c r="BS653" t="s">
        <v>8917</v>
      </c>
      <c r="BT653" t="str">
        <f>HYPERLINK("https%3A%2F%2Fwww.webofscience.com%2Fwos%2Fwoscc%2Ffull-record%2FWOS:000168066100053","View Full Record in Web of Science")</f>
        <v>View Full Record in Web of Science</v>
      </c>
    </row>
    <row r="654" spans="1:72" x14ac:dyDescent="0.15">
      <c r="A654" t="s">
        <v>72</v>
      </c>
      <c r="B654" t="s">
        <v>8918</v>
      </c>
      <c r="C654" t="s">
        <v>74</v>
      </c>
      <c r="D654" t="s">
        <v>74</v>
      </c>
      <c r="E654" t="s">
        <v>74</v>
      </c>
      <c r="F654" t="s">
        <v>8918</v>
      </c>
      <c r="G654" t="s">
        <v>74</v>
      </c>
      <c r="H654" t="s">
        <v>74</v>
      </c>
      <c r="I654" t="s">
        <v>8919</v>
      </c>
      <c r="J654" t="s">
        <v>638</v>
      </c>
      <c r="K654" t="s">
        <v>74</v>
      </c>
      <c r="L654" t="s">
        <v>74</v>
      </c>
      <c r="M654" t="s">
        <v>77</v>
      </c>
      <c r="N654" t="s">
        <v>96</v>
      </c>
      <c r="O654" t="s">
        <v>74</v>
      </c>
      <c r="P654" t="s">
        <v>74</v>
      </c>
      <c r="Q654" t="s">
        <v>74</v>
      </c>
      <c r="R654" t="s">
        <v>74</v>
      </c>
      <c r="S654" t="s">
        <v>74</v>
      </c>
      <c r="T654" t="s">
        <v>8920</v>
      </c>
      <c r="U654" t="s">
        <v>8921</v>
      </c>
      <c r="V654" t="s">
        <v>8922</v>
      </c>
      <c r="W654" t="s">
        <v>2323</v>
      </c>
      <c r="X654" t="s">
        <v>1679</v>
      </c>
      <c r="Y654" t="s">
        <v>4133</v>
      </c>
      <c r="Z654" t="s">
        <v>8923</v>
      </c>
      <c r="AA654" t="s">
        <v>4135</v>
      </c>
      <c r="AB654" t="s">
        <v>4136</v>
      </c>
      <c r="AC654" t="s">
        <v>74</v>
      </c>
      <c r="AD654" t="s">
        <v>74</v>
      </c>
      <c r="AE654" t="s">
        <v>74</v>
      </c>
      <c r="AF654" t="s">
        <v>74</v>
      </c>
      <c r="AG654">
        <v>106</v>
      </c>
      <c r="AH654">
        <v>41</v>
      </c>
      <c r="AI654">
        <v>48</v>
      </c>
      <c r="AJ654">
        <v>0</v>
      </c>
      <c r="AK654">
        <v>6</v>
      </c>
      <c r="AL654" t="s">
        <v>349</v>
      </c>
      <c r="AM654" t="s">
        <v>350</v>
      </c>
      <c r="AN654" t="s">
        <v>351</v>
      </c>
      <c r="AO654" t="s">
        <v>646</v>
      </c>
      <c r="AP654" t="s">
        <v>647</v>
      </c>
      <c r="AQ654" t="s">
        <v>74</v>
      </c>
      <c r="AR654" t="s">
        <v>648</v>
      </c>
      <c r="AS654" t="s">
        <v>649</v>
      </c>
      <c r="AT654" t="s">
        <v>8859</v>
      </c>
      <c r="AU654">
        <v>2001</v>
      </c>
      <c r="AV654">
        <v>258</v>
      </c>
      <c r="AW654">
        <v>2</v>
      </c>
      <c r="AX654" t="s">
        <v>74</v>
      </c>
      <c r="AY654" t="s">
        <v>74</v>
      </c>
      <c r="AZ654" t="s">
        <v>74</v>
      </c>
      <c r="BA654" t="s">
        <v>74</v>
      </c>
      <c r="BB654">
        <v>215</v>
      </c>
      <c r="BC654">
        <v>235</v>
      </c>
      <c r="BD654" t="s">
        <v>74</v>
      </c>
      <c r="BE654" t="s">
        <v>8924</v>
      </c>
      <c r="BF654" t="str">
        <f>HYPERLINK("http://dx.doi.org/10.1016/S0022-0981(01)00214-3","http://dx.doi.org/10.1016/S0022-0981(01)00214-3")</f>
        <v>http://dx.doi.org/10.1016/S0022-0981(01)00214-3</v>
      </c>
      <c r="BG654" t="s">
        <v>74</v>
      </c>
      <c r="BH654" t="s">
        <v>74</v>
      </c>
      <c r="BI654">
        <v>21</v>
      </c>
      <c r="BJ654" t="s">
        <v>429</v>
      </c>
      <c r="BK654" t="s">
        <v>88</v>
      </c>
      <c r="BL654" t="s">
        <v>89</v>
      </c>
      <c r="BM654" t="s">
        <v>8925</v>
      </c>
      <c r="BN654">
        <v>11278011</v>
      </c>
      <c r="BO654" t="s">
        <v>761</v>
      </c>
      <c r="BP654" t="s">
        <v>74</v>
      </c>
      <c r="BQ654" t="s">
        <v>74</v>
      </c>
      <c r="BR654" t="s">
        <v>91</v>
      </c>
      <c r="BS654" t="s">
        <v>8926</v>
      </c>
      <c r="BT654" t="str">
        <f>HYPERLINK("https%3A%2F%2Fwww.webofscience.com%2Fwos%2Fwoscc%2Ffull-record%2FWOS:000167938300005","View Full Record in Web of Science")</f>
        <v>View Full Record in Web of Science</v>
      </c>
    </row>
    <row r="655" spans="1:72" x14ac:dyDescent="0.15">
      <c r="A655" t="s">
        <v>72</v>
      </c>
      <c r="B655" t="s">
        <v>8927</v>
      </c>
      <c r="C655" t="s">
        <v>74</v>
      </c>
      <c r="D655" t="s">
        <v>74</v>
      </c>
      <c r="E655" t="s">
        <v>74</v>
      </c>
      <c r="F655" t="s">
        <v>8927</v>
      </c>
      <c r="G655" t="s">
        <v>74</v>
      </c>
      <c r="H655" t="s">
        <v>74</v>
      </c>
      <c r="I655" t="s">
        <v>8928</v>
      </c>
      <c r="J655" t="s">
        <v>655</v>
      </c>
      <c r="K655" t="s">
        <v>74</v>
      </c>
      <c r="L655" t="s">
        <v>74</v>
      </c>
      <c r="M655" t="s">
        <v>77</v>
      </c>
      <c r="N655" t="s">
        <v>120</v>
      </c>
      <c r="O655" t="s">
        <v>74</v>
      </c>
      <c r="P655" t="s">
        <v>74</v>
      </c>
      <c r="Q655" t="s">
        <v>74</v>
      </c>
      <c r="R655" t="s">
        <v>74</v>
      </c>
      <c r="S655" t="s">
        <v>74</v>
      </c>
      <c r="T655" t="s">
        <v>74</v>
      </c>
      <c r="U655" t="s">
        <v>8929</v>
      </c>
      <c r="V655" t="s">
        <v>8930</v>
      </c>
      <c r="W655" t="s">
        <v>8931</v>
      </c>
      <c r="X655" t="s">
        <v>1679</v>
      </c>
      <c r="Y655" t="s">
        <v>8932</v>
      </c>
      <c r="Z655" t="s">
        <v>8933</v>
      </c>
      <c r="AA655" t="s">
        <v>74</v>
      </c>
      <c r="AB655" t="s">
        <v>74</v>
      </c>
      <c r="AC655" t="s">
        <v>74</v>
      </c>
      <c r="AD655" t="s">
        <v>74</v>
      </c>
      <c r="AE655" t="s">
        <v>74</v>
      </c>
      <c r="AF655" t="s">
        <v>74</v>
      </c>
      <c r="AG655">
        <v>80</v>
      </c>
      <c r="AH655">
        <v>6</v>
      </c>
      <c r="AI655">
        <v>6</v>
      </c>
      <c r="AJ655">
        <v>0</v>
      </c>
      <c r="AK655">
        <v>5</v>
      </c>
      <c r="AL655" t="s">
        <v>149</v>
      </c>
      <c r="AM655" t="s">
        <v>150</v>
      </c>
      <c r="AN655" t="s">
        <v>151</v>
      </c>
      <c r="AO655" t="s">
        <v>662</v>
      </c>
      <c r="AP655" t="s">
        <v>663</v>
      </c>
      <c r="AQ655" t="s">
        <v>74</v>
      </c>
      <c r="AR655" t="s">
        <v>664</v>
      </c>
      <c r="AS655" t="s">
        <v>665</v>
      </c>
      <c r="AT655" t="s">
        <v>8859</v>
      </c>
      <c r="AU655">
        <v>2001</v>
      </c>
      <c r="AV655">
        <v>106</v>
      </c>
      <c r="AW655" t="s">
        <v>8934</v>
      </c>
      <c r="AX655" t="s">
        <v>74</v>
      </c>
      <c r="AY655" t="s">
        <v>74</v>
      </c>
      <c r="AZ655" t="s">
        <v>74</v>
      </c>
      <c r="BA655" t="s">
        <v>74</v>
      </c>
      <c r="BB655">
        <v>6853</v>
      </c>
      <c r="BC655">
        <v>6867</v>
      </c>
      <c r="BD655" t="s">
        <v>74</v>
      </c>
      <c r="BE655" t="s">
        <v>8935</v>
      </c>
      <c r="BF655" t="str">
        <f>HYPERLINK("http://dx.doi.org/10.1029/1999JC000102","http://dx.doi.org/10.1029/1999JC000102")</f>
        <v>http://dx.doi.org/10.1029/1999JC000102</v>
      </c>
      <c r="BG655" t="s">
        <v>74</v>
      </c>
      <c r="BH655" t="s">
        <v>74</v>
      </c>
      <c r="BI655">
        <v>15</v>
      </c>
      <c r="BJ655" t="s">
        <v>668</v>
      </c>
      <c r="BK655" t="s">
        <v>88</v>
      </c>
      <c r="BL655" t="s">
        <v>668</v>
      </c>
      <c r="BM655" t="s">
        <v>8936</v>
      </c>
      <c r="BN655" t="s">
        <v>74</v>
      </c>
      <c r="BO655" t="s">
        <v>74</v>
      </c>
      <c r="BP655" t="s">
        <v>74</v>
      </c>
      <c r="BQ655" t="s">
        <v>74</v>
      </c>
      <c r="BR655" t="s">
        <v>91</v>
      </c>
      <c r="BS655" t="s">
        <v>8937</v>
      </c>
      <c r="BT655" t="str">
        <f>HYPERLINK("https%3A%2F%2Fwww.webofscience.com%2Fwos%2Fwoscc%2Ffull-record%2FWOS:000168137400002","View Full Record in Web of Science")</f>
        <v>View Full Record in Web of Science</v>
      </c>
    </row>
    <row r="656" spans="1:72" x14ac:dyDescent="0.15">
      <c r="A656" t="s">
        <v>72</v>
      </c>
      <c r="B656" t="s">
        <v>8938</v>
      </c>
      <c r="C656" t="s">
        <v>74</v>
      </c>
      <c r="D656" t="s">
        <v>74</v>
      </c>
      <c r="E656" t="s">
        <v>74</v>
      </c>
      <c r="F656" t="s">
        <v>8938</v>
      </c>
      <c r="G656" t="s">
        <v>74</v>
      </c>
      <c r="H656" t="s">
        <v>74</v>
      </c>
      <c r="I656" t="s">
        <v>8939</v>
      </c>
      <c r="J656" t="s">
        <v>655</v>
      </c>
      <c r="K656" t="s">
        <v>74</v>
      </c>
      <c r="L656" t="s">
        <v>74</v>
      </c>
      <c r="M656" t="s">
        <v>77</v>
      </c>
      <c r="N656" t="s">
        <v>120</v>
      </c>
      <c r="O656" t="s">
        <v>74</v>
      </c>
      <c r="P656" t="s">
        <v>74</v>
      </c>
      <c r="Q656" t="s">
        <v>74</v>
      </c>
      <c r="R656" t="s">
        <v>74</v>
      </c>
      <c r="S656" t="s">
        <v>74</v>
      </c>
      <c r="T656" t="s">
        <v>74</v>
      </c>
      <c r="U656" t="s">
        <v>8940</v>
      </c>
      <c r="V656" t="s">
        <v>8941</v>
      </c>
      <c r="W656" t="s">
        <v>8942</v>
      </c>
      <c r="X656" t="s">
        <v>8943</v>
      </c>
      <c r="Y656" t="s">
        <v>8944</v>
      </c>
      <c r="Z656" t="s">
        <v>8945</v>
      </c>
      <c r="AA656" t="s">
        <v>8946</v>
      </c>
      <c r="AB656" t="s">
        <v>8947</v>
      </c>
      <c r="AC656" t="s">
        <v>74</v>
      </c>
      <c r="AD656" t="s">
        <v>74</v>
      </c>
      <c r="AE656" t="s">
        <v>74</v>
      </c>
      <c r="AF656" t="s">
        <v>74</v>
      </c>
      <c r="AG656">
        <v>29</v>
      </c>
      <c r="AH656">
        <v>60</v>
      </c>
      <c r="AI656">
        <v>61</v>
      </c>
      <c r="AJ656">
        <v>0</v>
      </c>
      <c r="AK656">
        <v>15</v>
      </c>
      <c r="AL656" t="s">
        <v>149</v>
      </c>
      <c r="AM656" t="s">
        <v>150</v>
      </c>
      <c r="AN656" t="s">
        <v>151</v>
      </c>
      <c r="AO656" t="s">
        <v>662</v>
      </c>
      <c r="AP656" t="s">
        <v>663</v>
      </c>
      <c r="AQ656" t="s">
        <v>74</v>
      </c>
      <c r="AR656" t="s">
        <v>664</v>
      </c>
      <c r="AS656" t="s">
        <v>665</v>
      </c>
      <c r="AT656" t="s">
        <v>8859</v>
      </c>
      <c r="AU656">
        <v>2001</v>
      </c>
      <c r="AV656">
        <v>106</v>
      </c>
      <c r="AW656" t="s">
        <v>8934</v>
      </c>
      <c r="AX656" t="s">
        <v>74</v>
      </c>
      <c r="AY656" t="s">
        <v>74</v>
      </c>
      <c r="AZ656" t="s">
        <v>74</v>
      </c>
      <c r="BA656" t="s">
        <v>74</v>
      </c>
      <c r="BB656">
        <v>6931</v>
      </c>
      <c r="BC656">
        <v>6942</v>
      </c>
      <c r="BD656" t="s">
        <v>74</v>
      </c>
      <c r="BE656" t="s">
        <v>8948</v>
      </c>
      <c r="BF656" t="str">
        <f>HYPERLINK("http://dx.doi.org/10.1029/1999JC000154","http://dx.doi.org/10.1029/1999JC000154")</f>
        <v>http://dx.doi.org/10.1029/1999JC000154</v>
      </c>
      <c r="BG656" t="s">
        <v>74</v>
      </c>
      <c r="BH656" t="s">
        <v>74</v>
      </c>
      <c r="BI656">
        <v>12</v>
      </c>
      <c r="BJ656" t="s">
        <v>668</v>
      </c>
      <c r="BK656" t="s">
        <v>88</v>
      </c>
      <c r="BL656" t="s">
        <v>668</v>
      </c>
      <c r="BM656" t="s">
        <v>8936</v>
      </c>
      <c r="BN656" t="s">
        <v>74</v>
      </c>
      <c r="BO656" t="s">
        <v>171</v>
      </c>
      <c r="BP656" t="s">
        <v>74</v>
      </c>
      <c r="BQ656" t="s">
        <v>74</v>
      </c>
      <c r="BR656" t="s">
        <v>91</v>
      </c>
      <c r="BS656" t="s">
        <v>8949</v>
      </c>
      <c r="BT656" t="str">
        <f>HYPERLINK("https%3A%2F%2Fwww.webofscience.com%2Fwos%2Fwoscc%2Ffull-record%2FWOS:000168137400007","View Full Record in Web of Science")</f>
        <v>View Full Record in Web of Science</v>
      </c>
    </row>
    <row r="657" spans="1:72" x14ac:dyDescent="0.15">
      <c r="A657" t="s">
        <v>72</v>
      </c>
      <c r="B657" t="s">
        <v>8950</v>
      </c>
      <c r="C657" t="s">
        <v>74</v>
      </c>
      <c r="D657" t="s">
        <v>74</v>
      </c>
      <c r="E657" t="s">
        <v>74</v>
      </c>
      <c r="F657" t="s">
        <v>8950</v>
      </c>
      <c r="G657" t="s">
        <v>74</v>
      </c>
      <c r="H657" t="s">
        <v>74</v>
      </c>
      <c r="I657" t="s">
        <v>8951</v>
      </c>
      <c r="J657" t="s">
        <v>655</v>
      </c>
      <c r="K657" t="s">
        <v>74</v>
      </c>
      <c r="L657" t="s">
        <v>74</v>
      </c>
      <c r="M657" t="s">
        <v>77</v>
      </c>
      <c r="N657" t="s">
        <v>120</v>
      </c>
      <c r="O657" t="s">
        <v>74</v>
      </c>
      <c r="P657" t="s">
        <v>74</v>
      </c>
      <c r="Q657" t="s">
        <v>74</v>
      </c>
      <c r="R657" t="s">
        <v>74</v>
      </c>
      <c r="S657" t="s">
        <v>74</v>
      </c>
      <c r="T657" t="s">
        <v>74</v>
      </c>
      <c r="U657" t="s">
        <v>8952</v>
      </c>
      <c r="V657" t="s">
        <v>8953</v>
      </c>
      <c r="W657" t="s">
        <v>8954</v>
      </c>
      <c r="X657" t="s">
        <v>8955</v>
      </c>
      <c r="Y657" t="s">
        <v>8956</v>
      </c>
      <c r="Z657" t="s">
        <v>8957</v>
      </c>
      <c r="AA657" t="s">
        <v>8958</v>
      </c>
      <c r="AB657" t="s">
        <v>74</v>
      </c>
      <c r="AC657" t="s">
        <v>74</v>
      </c>
      <c r="AD657" t="s">
        <v>74</v>
      </c>
      <c r="AE657" t="s">
        <v>74</v>
      </c>
      <c r="AF657" t="s">
        <v>74</v>
      </c>
      <c r="AG657">
        <v>28</v>
      </c>
      <c r="AH657">
        <v>20</v>
      </c>
      <c r="AI657">
        <v>21</v>
      </c>
      <c r="AJ657">
        <v>0</v>
      </c>
      <c r="AK657">
        <v>10</v>
      </c>
      <c r="AL657" t="s">
        <v>149</v>
      </c>
      <c r="AM657" t="s">
        <v>150</v>
      </c>
      <c r="AN657" t="s">
        <v>151</v>
      </c>
      <c r="AO657" t="s">
        <v>662</v>
      </c>
      <c r="AP657" t="s">
        <v>663</v>
      </c>
      <c r="AQ657" t="s">
        <v>74</v>
      </c>
      <c r="AR657" t="s">
        <v>664</v>
      </c>
      <c r="AS657" t="s">
        <v>665</v>
      </c>
      <c r="AT657" t="s">
        <v>8859</v>
      </c>
      <c r="AU657">
        <v>2001</v>
      </c>
      <c r="AV657">
        <v>106</v>
      </c>
      <c r="AW657" t="s">
        <v>8934</v>
      </c>
      <c r="AX657" t="s">
        <v>74</v>
      </c>
      <c r="AY657" t="s">
        <v>74</v>
      </c>
      <c r="AZ657" t="s">
        <v>74</v>
      </c>
      <c r="BA657" t="s">
        <v>74</v>
      </c>
      <c r="BB657">
        <v>7097</v>
      </c>
      <c r="BC657">
        <v>7106</v>
      </c>
      <c r="BD657" t="s">
        <v>74</v>
      </c>
      <c r="BE657" t="s">
        <v>8959</v>
      </c>
      <c r="BF657" t="str">
        <f>HYPERLINK("http://dx.doi.org/10.1029/2000JC000317","http://dx.doi.org/10.1029/2000JC000317")</f>
        <v>http://dx.doi.org/10.1029/2000JC000317</v>
      </c>
      <c r="BG657" t="s">
        <v>74</v>
      </c>
      <c r="BH657" t="s">
        <v>74</v>
      </c>
      <c r="BI657">
        <v>10</v>
      </c>
      <c r="BJ657" t="s">
        <v>668</v>
      </c>
      <c r="BK657" t="s">
        <v>88</v>
      </c>
      <c r="BL657" t="s">
        <v>668</v>
      </c>
      <c r="BM657" t="s">
        <v>8936</v>
      </c>
      <c r="BN657" t="s">
        <v>74</v>
      </c>
      <c r="BO657" t="s">
        <v>74</v>
      </c>
      <c r="BP657" t="s">
        <v>74</v>
      </c>
      <c r="BQ657" t="s">
        <v>74</v>
      </c>
      <c r="BR657" t="s">
        <v>91</v>
      </c>
      <c r="BS657" t="s">
        <v>8960</v>
      </c>
      <c r="BT657" t="str">
        <f>HYPERLINK("https%3A%2F%2Fwww.webofscience.com%2Fwos%2Fwoscc%2Ffull-record%2FWOS:000168137400019","View Full Record in Web of Science")</f>
        <v>View Full Record in Web of Science</v>
      </c>
    </row>
    <row r="658" spans="1:72" x14ac:dyDescent="0.15">
      <c r="A658" t="s">
        <v>72</v>
      </c>
      <c r="B658" t="s">
        <v>8961</v>
      </c>
      <c r="C658" t="s">
        <v>74</v>
      </c>
      <c r="D658" t="s">
        <v>74</v>
      </c>
      <c r="E658" t="s">
        <v>74</v>
      </c>
      <c r="F658" t="s">
        <v>8961</v>
      </c>
      <c r="G658" t="s">
        <v>74</v>
      </c>
      <c r="H658" t="s">
        <v>74</v>
      </c>
      <c r="I658" t="s">
        <v>8962</v>
      </c>
      <c r="J658" t="s">
        <v>655</v>
      </c>
      <c r="K658" t="s">
        <v>74</v>
      </c>
      <c r="L658" t="s">
        <v>74</v>
      </c>
      <c r="M658" t="s">
        <v>77</v>
      </c>
      <c r="N658" t="s">
        <v>120</v>
      </c>
      <c r="O658" t="s">
        <v>74</v>
      </c>
      <c r="P658" t="s">
        <v>74</v>
      </c>
      <c r="Q658" t="s">
        <v>74</v>
      </c>
      <c r="R658" t="s">
        <v>74</v>
      </c>
      <c r="S658" t="s">
        <v>74</v>
      </c>
      <c r="T658" t="s">
        <v>74</v>
      </c>
      <c r="U658" t="s">
        <v>8963</v>
      </c>
      <c r="V658" t="s">
        <v>8964</v>
      </c>
      <c r="W658" t="s">
        <v>8965</v>
      </c>
      <c r="X658" t="s">
        <v>8966</v>
      </c>
      <c r="Y658" t="s">
        <v>8967</v>
      </c>
      <c r="Z658" t="s">
        <v>8968</v>
      </c>
      <c r="AA658" t="s">
        <v>8969</v>
      </c>
      <c r="AB658" t="s">
        <v>8970</v>
      </c>
      <c r="AC658" t="s">
        <v>74</v>
      </c>
      <c r="AD658" t="s">
        <v>74</v>
      </c>
      <c r="AE658" t="s">
        <v>74</v>
      </c>
      <c r="AF658" t="s">
        <v>74</v>
      </c>
      <c r="AG658">
        <v>96</v>
      </c>
      <c r="AH658">
        <v>27</v>
      </c>
      <c r="AI658">
        <v>29</v>
      </c>
      <c r="AJ658">
        <v>0</v>
      </c>
      <c r="AK658">
        <v>14</v>
      </c>
      <c r="AL658" t="s">
        <v>149</v>
      </c>
      <c r="AM658" t="s">
        <v>150</v>
      </c>
      <c r="AN658" t="s">
        <v>151</v>
      </c>
      <c r="AO658" t="s">
        <v>662</v>
      </c>
      <c r="AP658" t="s">
        <v>663</v>
      </c>
      <c r="AQ658" t="s">
        <v>74</v>
      </c>
      <c r="AR658" t="s">
        <v>664</v>
      </c>
      <c r="AS658" t="s">
        <v>665</v>
      </c>
      <c r="AT658" t="s">
        <v>8859</v>
      </c>
      <c r="AU658">
        <v>2001</v>
      </c>
      <c r="AV658">
        <v>106</v>
      </c>
      <c r="AW658" t="s">
        <v>8934</v>
      </c>
      <c r="AX658" t="s">
        <v>74</v>
      </c>
      <c r="AY658" t="s">
        <v>74</v>
      </c>
      <c r="AZ658" t="s">
        <v>74</v>
      </c>
      <c r="BA658" t="s">
        <v>74</v>
      </c>
      <c r="BB658">
        <v>7107</v>
      </c>
      <c r="BC658">
        <v>7124</v>
      </c>
      <c r="BD658" t="s">
        <v>74</v>
      </c>
      <c r="BE658" t="s">
        <v>8971</v>
      </c>
      <c r="BF658" t="str">
        <f>HYPERLINK("http://dx.doi.org/10.1029/1999JC000090","http://dx.doi.org/10.1029/1999JC000090")</f>
        <v>http://dx.doi.org/10.1029/1999JC000090</v>
      </c>
      <c r="BG658" t="s">
        <v>74</v>
      </c>
      <c r="BH658" t="s">
        <v>74</v>
      </c>
      <c r="BI658">
        <v>18</v>
      </c>
      <c r="BJ658" t="s">
        <v>668</v>
      </c>
      <c r="BK658" t="s">
        <v>88</v>
      </c>
      <c r="BL658" t="s">
        <v>668</v>
      </c>
      <c r="BM658" t="s">
        <v>8936</v>
      </c>
      <c r="BN658" t="s">
        <v>74</v>
      </c>
      <c r="BO658" t="s">
        <v>563</v>
      </c>
      <c r="BP658" t="s">
        <v>74</v>
      </c>
      <c r="BQ658" t="s">
        <v>74</v>
      </c>
      <c r="BR658" t="s">
        <v>91</v>
      </c>
      <c r="BS658" t="s">
        <v>8972</v>
      </c>
      <c r="BT658" t="str">
        <f>HYPERLINK("https%3A%2F%2Fwww.webofscience.com%2Fwos%2Fwoscc%2Ffull-record%2FWOS:000168137400020","View Full Record in Web of Science")</f>
        <v>View Full Record in Web of Science</v>
      </c>
    </row>
    <row r="659" spans="1:72" x14ac:dyDescent="0.15">
      <c r="A659" t="s">
        <v>72</v>
      </c>
      <c r="B659" t="s">
        <v>8973</v>
      </c>
      <c r="C659" t="s">
        <v>74</v>
      </c>
      <c r="D659" t="s">
        <v>74</v>
      </c>
      <c r="E659" t="s">
        <v>74</v>
      </c>
      <c r="F659" t="s">
        <v>8973</v>
      </c>
      <c r="G659" t="s">
        <v>74</v>
      </c>
      <c r="H659" t="s">
        <v>74</v>
      </c>
      <c r="I659" t="s">
        <v>8974</v>
      </c>
      <c r="J659" t="s">
        <v>655</v>
      </c>
      <c r="K659" t="s">
        <v>74</v>
      </c>
      <c r="L659" t="s">
        <v>74</v>
      </c>
      <c r="M659" t="s">
        <v>77</v>
      </c>
      <c r="N659" t="s">
        <v>120</v>
      </c>
      <c r="O659" t="s">
        <v>74</v>
      </c>
      <c r="P659" t="s">
        <v>74</v>
      </c>
      <c r="Q659" t="s">
        <v>74</v>
      </c>
      <c r="R659" t="s">
        <v>74</v>
      </c>
      <c r="S659" t="s">
        <v>74</v>
      </c>
      <c r="T659" t="s">
        <v>74</v>
      </c>
      <c r="U659" t="s">
        <v>8975</v>
      </c>
      <c r="V659" t="s">
        <v>8976</v>
      </c>
      <c r="W659" t="s">
        <v>8977</v>
      </c>
      <c r="X659" t="s">
        <v>8978</v>
      </c>
      <c r="Y659" t="s">
        <v>8979</v>
      </c>
      <c r="Z659" t="s">
        <v>8980</v>
      </c>
      <c r="AA659" t="s">
        <v>8981</v>
      </c>
      <c r="AB659" t="s">
        <v>8982</v>
      </c>
      <c r="AC659" t="s">
        <v>74</v>
      </c>
      <c r="AD659" t="s">
        <v>74</v>
      </c>
      <c r="AE659" t="s">
        <v>74</v>
      </c>
      <c r="AF659" t="s">
        <v>74</v>
      </c>
      <c r="AG659">
        <v>44</v>
      </c>
      <c r="AH659">
        <v>142</v>
      </c>
      <c r="AI659">
        <v>155</v>
      </c>
      <c r="AJ659">
        <v>2</v>
      </c>
      <c r="AK659">
        <v>15</v>
      </c>
      <c r="AL659" t="s">
        <v>149</v>
      </c>
      <c r="AM659" t="s">
        <v>150</v>
      </c>
      <c r="AN659" t="s">
        <v>151</v>
      </c>
      <c r="AO659" t="s">
        <v>662</v>
      </c>
      <c r="AP659" t="s">
        <v>663</v>
      </c>
      <c r="AQ659" t="s">
        <v>74</v>
      </c>
      <c r="AR659" t="s">
        <v>664</v>
      </c>
      <c r="AS659" t="s">
        <v>665</v>
      </c>
      <c r="AT659" t="s">
        <v>8859</v>
      </c>
      <c r="AU659">
        <v>2001</v>
      </c>
      <c r="AV659">
        <v>106</v>
      </c>
      <c r="AW659" t="s">
        <v>8934</v>
      </c>
      <c r="AX659" t="s">
        <v>74</v>
      </c>
      <c r="AY659" t="s">
        <v>74</v>
      </c>
      <c r="AZ659" t="s">
        <v>74</v>
      </c>
      <c r="BA659" t="s">
        <v>74</v>
      </c>
      <c r="BB659">
        <v>7125</v>
      </c>
      <c r="BC659">
        <v>7138</v>
      </c>
      <c r="BD659" t="s">
        <v>74</v>
      </c>
      <c r="BE659" t="s">
        <v>8983</v>
      </c>
      <c r="BF659" t="str">
        <f>HYPERLINK("http://dx.doi.org/10.1029/1999JC000311","http://dx.doi.org/10.1029/1999JC000311")</f>
        <v>http://dx.doi.org/10.1029/1999JC000311</v>
      </c>
      <c r="BG659" t="s">
        <v>74</v>
      </c>
      <c r="BH659" t="s">
        <v>74</v>
      </c>
      <c r="BI659">
        <v>14</v>
      </c>
      <c r="BJ659" t="s">
        <v>668</v>
      </c>
      <c r="BK659" t="s">
        <v>88</v>
      </c>
      <c r="BL659" t="s">
        <v>668</v>
      </c>
      <c r="BM659" t="s">
        <v>8936</v>
      </c>
      <c r="BN659" t="s">
        <v>74</v>
      </c>
      <c r="BO659" t="s">
        <v>171</v>
      </c>
      <c r="BP659" t="s">
        <v>74</v>
      </c>
      <c r="BQ659" t="s">
        <v>74</v>
      </c>
      <c r="BR659" t="s">
        <v>91</v>
      </c>
      <c r="BS659" t="s">
        <v>8984</v>
      </c>
      <c r="BT659" t="str">
        <f>HYPERLINK("https%3A%2F%2Fwww.webofscience.com%2Fwos%2Fwoscc%2Ffull-record%2FWOS:000168137400021","View Full Record in Web of Science")</f>
        <v>View Full Record in Web of Science</v>
      </c>
    </row>
    <row r="660" spans="1:72" x14ac:dyDescent="0.15">
      <c r="A660" t="s">
        <v>72</v>
      </c>
      <c r="B660" t="s">
        <v>8985</v>
      </c>
      <c r="C660" t="s">
        <v>74</v>
      </c>
      <c r="D660" t="s">
        <v>74</v>
      </c>
      <c r="E660" t="s">
        <v>74</v>
      </c>
      <c r="F660" t="s">
        <v>8985</v>
      </c>
      <c r="G660" t="s">
        <v>74</v>
      </c>
      <c r="H660" t="s">
        <v>74</v>
      </c>
      <c r="I660" t="s">
        <v>8986</v>
      </c>
      <c r="J660" t="s">
        <v>4554</v>
      </c>
      <c r="K660" t="s">
        <v>74</v>
      </c>
      <c r="L660" t="s">
        <v>74</v>
      </c>
      <c r="M660" t="s">
        <v>77</v>
      </c>
      <c r="N660" t="s">
        <v>120</v>
      </c>
      <c r="O660" t="s">
        <v>74</v>
      </c>
      <c r="P660" t="s">
        <v>74</v>
      </c>
      <c r="Q660" t="s">
        <v>74</v>
      </c>
      <c r="R660" t="s">
        <v>74</v>
      </c>
      <c r="S660" t="s">
        <v>74</v>
      </c>
      <c r="T660" t="s">
        <v>8987</v>
      </c>
      <c r="U660" t="s">
        <v>8988</v>
      </c>
      <c r="V660" t="s">
        <v>8989</v>
      </c>
      <c r="W660" t="s">
        <v>8990</v>
      </c>
      <c r="X660" t="s">
        <v>8991</v>
      </c>
      <c r="Y660" t="s">
        <v>8992</v>
      </c>
      <c r="Z660" t="s">
        <v>74</v>
      </c>
      <c r="AA660" t="s">
        <v>74</v>
      </c>
      <c r="AB660" t="s">
        <v>8993</v>
      </c>
      <c r="AC660" t="s">
        <v>74</v>
      </c>
      <c r="AD660" t="s">
        <v>74</v>
      </c>
      <c r="AE660" t="s">
        <v>74</v>
      </c>
      <c r="AF660" t="s">
        <v>74</v>
      </c>
      <c r="AG660">
        <v>61</v>
      </c>
      <c r="AH660">
        <v>22</v>
      </c>
      <c r="AI660">
        <v>26</v>
      </c>
      <c r="AJ660">
        <v>1</v>
      </c>
      <c r="AK660">
        <v>7</v>
      </c>
      <c r="AL660" t="s">
        <v>488</v>
      </c>
      <c r="AM660" t="s">
        <v>350</v>
      </c>
      <c r="AN660" t="s">
        <v>489</v>
      </c>
      <c r="AO660" t="s">
        <v>4563</v>
      </c>
      <c r="AP660" t="s">
        <v>74</v>
      </c>
      <c r="AQ660" t="s">
        <v>74</v>
      </c>
      <c r="AR660" t="s">
        <v>4564</v>
      </c>
      <c r="AS660" t="s">
        <v>4565</v>
      </c>
      <c r="AT660" t="s">
        <v>8859</v>
      </c>
      <c r="AU660">
        <v>2001</v>
      </c>
      <c r="AV660">
        <v>168</v>
      </c>
      <c r="AW660" t="s">
        <v>451</v>
      </c>
      <c r="AX660" t="s">
        <v>74</v>
      </c>
      <c r="AY660" t="s">
        <v>74</v>
      </c>
      <c r="AZ660" t="s">
        <v>74</v>
      </c>
      <c r="BA660" t="s">
        <v>74</v>
      </c>
      <c r="BB660">
        <v>273</v>
      </c>
      <c r="BC660">
        <v>289</v>
      </c>
      <c r="BD660" t="s">
        <v>74</v>
      </c>
      <c r="BE660" t="s">
        <v>8994</v>
      </c>
      <c r="BF660" t="str">
        <f>HYPERLINK("http://dx.doi.org/10.1016/S0031-0182(01)00203-6","http://dx.doi.org/10.1016/S0031-0182(01)00203-6")</f>
        <v>http://dx.doi.org/10.1016/S0031-0182(01)00203-6</v>
      </c>
      <c r="BG660" t="s">
        <v>74</v>
      </c>
      <c r="BH660" t="s">
        <v>74</v>
      </c>
      <c r="BI660">
        <v>17</v>
      </c>
      <c r="BJ660" t="s">
        <v>4567</v>
      </c>
      <c r="BK660" t="s">
        <v>88</v>
      </c>
      <c r="BL660" t="s">
        <v>4568</v>
      </c>
      <c r="BM660" t="s">
        <v>8995</v>
      </c>
      <c r="BN660" t="s">
        <v>74</v>
      </c>
      <c r="BO660" t="s">
        <v>74</v>
      </c>
      <c r="BP660" t="s">
        <v>74</v>
      </c>
      <c r="BQ660" t="s">
        <v>74</v>
      </c>
      <c r="BR660" t="s">
        <v>91</v>
      </c>
      <c r="BS660" t="s">
        <v>8996</v>
      </c>
      <c r="BT660" t="str">
        <f>HYPERLINK("https%3A%2F%2Fwww.webofscience.com%2Fwos%2Fwoscc%2Ffull-record%2FWOS:000168397500005","View Full Record in Web of Science")</f>
        <v>View Full Record in Web of Science</v>
      </c>
    </row>
    <row r="661" spans="1:72" x14ac:dyDescent="0.15">
      <c r="A661" t="s">
        <v>72</v>
      </c>
      <c r="B661" t="s">
        <v>8997</v>
      </c>
      <c r="C661" t="s">
        <v>74</v>
      </c>
      <c r="D661" t="s">
        <v>74</v>
      </c>
      <c r="E661" t="s">
        <v>74</v>
      </c>
      <c r="F661" t="s">
        <v>8997</v>
      </c>
      <c r="G661" t="s">
        <v>74</v>
      </c>
      <c r="H661" t="s">
        <v>74</v>
      </c>
      <c r="I661" t="s">
        <v>8998</v>
      </c>
      <c r="J661" t="s">
        <v>1867</v>
      </c>
      <c r="K661" t="s">
        <v>74</v>
      </c>
      <c r="L661" t="s">
        <v>74</v>
      </c>
      <c r="M661" t="s">
        <v>77</v>
      </c>
      <c r="N661" t="s">
        <v>414</v>
      </c>
      <c r="O661" t="s">
        <v>74</v>
      </c>
      <c r="P661" t="s">
        <v>74</v>
      </c>
      <c r="Q661" t="s">
        <v>74</v>
      </c>
      <c r="R661" t="s">
        <v>74</v>
      </c>
      <c r="S661" t="s">
        <v>74</v>
      </c>
      <c r="T661" t="s">
        <v>74</v>
      </c>
      <c r="U661" t="s">
        <v>8999</v>
      </c>
      <c r="V661" t="s">
        <v>74</v>
      </c>
      <c r="W661" t="s">
        <v>9000</v>
      </c>
      <c r="X661" t="s">
        <v>6397</v>
      </c>
      <c r="Y661" t="s">
        <v>9001</v>
      </c>
      <c r="Z661" t="s">
        <v>74</v>
      </c>
      <c r="AA661" t="s">
        <v>74</v>
      </c>
      <c r="AB661" t="s">
        <v>74</v>
      </c>
      <c r="AC661" t="s">
        <v>74</v>
      </c>
      <c r="AD661" t="s">
        <v>74</v>
      </c>
      <c r="AE661" t="s">
        <v>74</v>
      </c>
      <c r="AF661" t="s">
        <v>74</v>
      </c>
      <c r="AG661">
        <v>27</v>
      </c>
      <c r="AH661">
        <v>58</v>
      </c>
      <c r="AI661">
        <v>60</v>
      </c>
      <c r="AJ661">
        <v>0</v>
      </c>
      <c r="AK661">
        <v>7</v>
      </c>
      <c r="AL661" t="s">
        <v>1872</v>
      </c>
      <c r="AM661" t="s">
        <v>150</v>
      </c>
      <c r="AN661" t="s">
        <v>1873</v>
      </c>
      <c r="AO661" t="s">
        <v>1874</v>
      </c>
      <c r="AP661" t="s">
        <v>74</v>
      </c>
      <c r="AQ661" t="s">
        <v>74</v>
      </c>
      <c r="AR661" t="s">
        <v>1867</v>
      </c>
      <c r="AS661" t="s">
        <v>1875</v>
      </c>
      <c r="AT661" t="s">
        <v>9002</v>
      </c>
      <c r="AU661">
        <v>2001</v>
      </c>
      <c r="AV661">
        <v>292</v>
      </c>
      <c r="AW661">
        <v>5514</v>
      </c>
      <c r="AX661" t="s">
        <v>74</v>
      </c>
      <c r="AY661" t="s">
        <v>74</v>
      </c>
      <c r="AZ661" t="s">
        <v>74</v>
      </c>
      <c r="BA661" t="s">
        <v>74</v>
      </c>
      <c r="BB661">
        <v>61</v>
      </c>
      <c r="BC661">
        <v>63</v>
      </c>
      <c r="BD661" t="s">
        <v>74</v>
      </c>
      <c r="BE661" t="s">
        <v>9003</v>
      </c>
      <c r="BF661" t="str">
        <f>HYPERLINK("http://dx.doi.org/10.1126/science.1060083","http://dx.doi.org/10.1126/science.1060083")</f>
        <v>http://dx.doi.org/10.1126/science.1060083</v>
      </c>
      <c r="BG661" t="s">
        <v>74</v>
      </c>
      <c r="BH661" t="s">
        <v>74</v>
      </c>
      <c r="BI661">
        <v>3</v>
      </c>
      <c r="BJ661" t="s">
        <v>575</v>
      </c>
      <c r="BK661" t="s">
        <v>88</v>
      </c>
      <c r="BL661" t="s">
        <v>576</v>
      </c>
      <c r="BM661" t="s">
        <v>9004</v>
      </c>
      <c r="BN661">
        <v>11294218</v>
      </c>
      <c r="BO661" t="s">
        <v>74</v>
      </c>
      <c r="BP661" t="s">
        <v>74</v>
      </c>
      <c r="BQ661" t="s">
        <v>74</v>
      </c>
      <c r="BR661" t="s">
        <v>91</v>
      </c>
      <c r="BS661" t="s">
        <v>9005</v>
      </c>
      <c r="BT661" t="str">
        <f>HYPERLINK("https%3A%2F%2Fwww.webofscience.com%2Fwos%2Fwoscc%2Ffull-record%2FWOS:000167995200033","View Full Record in Web of Science")</f>
        <v>View Full Record in Web of Science</v>
      </c>
    </row>
    <row r="662" spans="1:72" x14ac:dyDescent="0.15">
      <c r="A662" t="s">
        <v>72</v>
      </c>
      <c r="B662" t="s">
        <v>9006</v>
      </c>
      <c r="C662" t="s">
        <v>74</v>
      </c>
      <c r="D662" t="s">
        <v>74</v>
      </c>
      <c r="E662" t="s">
        <v>74</v>
      </c>
      <c r="F662" t="s">
        <v>9006</v>
      </c>
      <c r="G662" t="s">
        <v>74</v>
      </c>
      <c r="H662" t="s">
        <v>74</v>
      </c>
      <c r="I662" t="s">
        <v>9007</v>
      </c>
      <c r="J662" t="s">
        <v>9008</v>
      </c>
      <c r="K662" t="s">
        <v>74</v>
      </c>
      <c r="L662" t="s">
        <v>74</v>
      </c>
      <c r="M662" t="s">
        <v>77</v>
      </c>
      <c r="N662" t="s">
        <v>120</v>
      </c>
      <c r="O662" t="s">
        <v>74</v>
      </c>
      <c r="P662" t="s">
        <v>74</v>
      </c>
      <c r="Q662" t="s">
        <v>74</v>
      </c>
      <c r="R662" t="s">
        <v>74</v>
      </c>
      <c r="S662" t="s">
        <v>74</v>
      </c>
      <c r="T662" t="s">
        <v>9009</v>
      </c>
      <c r="U662" t="s">
        <v>9010</v>
      </c>
      <c r="V662" t="s">
        <v>9011</v>
      </c>
      <c r="W662" t="s">
        <v>9012</v>
      </c>
      <c r="X662" t="s">
        <v>9013</v>
      </c>
      <c r="Y662" t="s">
        <v>9014</v>
      </c>
      <c r="Z662" t="s">
        <v>9015</v>
      </c>
      <c r="AA662" t="s">
        <v>74</v>
      </c>
      <c r="AB662" t="s">
        <v>74</v>
      </c>
      <c r="AC662" t="s">
        <v>74</v>
      </c>
      <c r="AD662" t="s">
        <v>74</v>
      </c>
      <c r="AE662" t="s">
        <v>74</v>
      </c>
      <c r="AF662" t="s">
        <v>74</v>
      </c>
      <c r="AG662">
        <v>30</v>
      </c>
      <c r="AH662">
        <v>37</v>
      </c>
      <c r="AI662">
        <v>43</v>
      </c>
      <c r="AJ662">
        <v>0</v>
      </c>
      <c r="AK662">
        <v>14</v>
      </c>
      <c r="AL662" t="s">
        <v>488</v>
      </c>
      <c r="AM662" t="s">
        <v>350</v>
      </c>
      <c r="AN662" t="s">
        <v>489</v>
      </c>
      <c r="AO662" t="s">
        <v>9016</v>
      </c>
      <c r="AP662" t="s">
        <v>9017</v>
      </c>
      <c r="AQ662" t="s">
        <v>74</v>
      </c>
      <c r="AR662" t="s">
        <v>9018</v>
      </c>
      <c r="AS662" t="s">
        <v>9019</v>
      </c>
      <c r="AT662" t="s">
        <v>9020</v>
      </c>
      <c r="AU662">
        <v>2001</v>
      </c>
      <c r="AV662">
        <v>1511</v>
      </c>
      <c r="AW662">
        <v>2</v>
      </c>
      <c r="AX662" t="s">
        <v>74</v>
      </c>
      <c r="AY662" t="s">
        <v>74</v>
      </c>
      <c r="AZ662" t="s">
        <v>74</v>
      </c>
      <c r="BA662" t="s">
        <v>74</v>
      </c>
      <c r="BB662">
        <v>255</v>
      </c>
      <c r="BC662">
        <v>263</v>
      </c>
      <c r="BD662" t="s">
        <v>74</v>
      </c>
      <c r="BE662" t="s">
        <v>9021</v>
      </c>
      <c r="BF662" t="str">
        <f>HYPERLINK("http://dx.doi.org/10.1016/S0005-2736(01)00281-4","http://dx.doi.org/10.1016/S0005-2736(01)00281-4")</f>
        <v>http://dx.doi.org/10.1016/S0005-2736(01)00281-4</v>
      </c>
      <c r="BG662" t="s">
        <v>74</v>
      </c>
      <c r="BH662" t="s">
        <v>74</v>
      </c>
      <c r="BI662">
        <v>9</v>
      </c>
      <c r="BJ662" t="s">
        <v>2728</v>
      </c>
      <c r="BK662" t="s">
        <v>88</v>
      </c>
      <c r="BL662" t="s">
        <v>2728</v>
      </c>
      <c r="BM662" t="s">
        <v>9022</v>
      </c>
      <c r="BN662">
        <v>11286968</v>
      </c>
      <c r="BO662" t="s">
        <v>359</v>
      </c>
      <c r="BP662" t="s">
        <v>74</v>
      </c>
      <c r="BQ662" t="s">
        <v>74</v>
      </c>
      <c r="BR662" t="s">
        <v>91</v>
      </c>
      <c r="BS662" t="s">
        <v>9023</v>
      </c>
      <c r="BT662" t="str">
        <f>HYPERLINK("https%3A%2F%2Fwww.webofscience.com%2Fwos%2Fwoscc%2Ffull-record%2FWOS:000167942800006","View Full Record in Web of Science")</f>
        <v>View Full Record in Web of Science</v>
      </c>
    </row>
    <row r="663" spans="1:72" x14ac:dyDescent="0.15">
      <c r="A663" t="s">
        <v>72</v>
      </c>
      <c r="B663" t="s">
        <v>9024</v>
      </c>
      <c r="C663" t="s">
        <v>74</v>
      </c>
      <c r="D663" t="s">
        <v>74</v>
      </c>
      <c r="E663" t="s">
        <v>74</v>
      </c>
      <c r="F663" t="s">
        <v>9024</v>
      </c>
      <c r="G663" t="s">
        <v>74</v>
      </c>
      <c r="H663" t="s">
        <v>74</v>
      </c>
      <c r="I663" t="s">
        <v>9025</v>
      </c>
      <c r="J663" t="s">
        <v>9026</v>
      </c>
      <c r="K663" t="s">
        <v>74</v>
      </c>
      <c r="L663" t="s">
        <v>74</v>
      </c>
      <c r="M663" t="s">
        <v>9027</v>
      </c>
      <c r="N663" t="s">
        <v>120</v>
      </c>
      <c r="O663" t="s">
        <v>74</v>
      </c>
      <c r="P663" t="s">
        <v>74</v>
      </c>
      <c r="Q663" t="s">
        <v>74</v>
      </c>
      <c r="R663" t="s">
        <v>74</v>
      </c>
      <c r="S663" t="s">
        <v>74</v>
      </c>
      <c r="T663" t="s">
        <v>9028</v>
      </c>
      <c r="U663" t="s">
        <v>74</v>
      </c>
      <c r="V663" t="s">
        <v>9029</v>
      </c>
      <c r="W663" t="s">
        <v>9030</v>
      </c>
      <c r="X663" t="s">
        <v>9031</v>
      </c>
      <c r="Y663" t="s">
        <v>9032</v>
      </c>
      <c r="Z663" t="s">
        <v>74</v>
      </c>
      <c r="AA663" t="s">
        <v>74</v>
      </c>
      <c r="AB663" t="s">
        <v>74</v>
      </c>
      <c r="AC663" t="s">
        <v>74</v>
      </c>
      <c r="AD663" t="s">
        <v>74</v>
      </c>
      <c r="AE663" t="s">
        <v>74</v>
      </c>
      <c r="AF663" t="s">
        <v>74</v>
      </c>
      <c r="AG663">
        <v>6</v>
      </c>
      <c r="AH663">
        <v>7</v>
      </c>
      <c r="AI663">
        <v>13</v>
      </c>
      <c r="AJ663">
        <v>0</v>
      </c>
      <c r="AK663">
        <v>2</v>
      </c>
      <c r="AL663" t="s">
        <v>5421</v>
      </c>
      <c r="AM663" t="s">
        <v>293</v>
      </c>
      <c r="AN663" t="s">
        <v>294</v>
      </c>
      <c r="AO663" t="s">
        <v>9033</v>
      </c>
      <c r="AP663" t="s">
        <v>74</v>
      </c>
      <c r="AQ663" t="s">
        <v>74</v>
      </c>
      <c r="AR663" t="s">
        <v>9034</v>
      </c>
      <c r="AS663" t="s">
        <v>9035</v>
      </c>
      <c r="AT663" t="s">
        <v>9036</v>
      </c>
      <c r="AU663">
        <v>2001</v>
      </c>
      <c r="AV663">
        <v>17</v>
      </c>
      <c r="AW663">
        <v>2</v>
      </c>
      <c r="AX663" t="s">
        <v>74</v>
      </c>
      <c r="AY663" t="s">
        <v>74</v>
      </c>
      <c r="AZ663" t="s">
        <v>74</v>
      </c>
      <c r="BA663" t="s">
        <v>74</v>
      </c>
      <c r="BB663">
        <v>314</v>
      </c>
      <c r="BC663">
        <v>320</v>
      </c>
      <c r="BD663" t="s">
        <v>74</v>
      </c>
      <c r="BE663" t="s">
        <v>74</v>
      </c>
      <c r="BF663" t="s">
        <v>74</v>
      </c>
      <c r="BG663" t="s">
        <v>74</v>
      </c>
      <c r="BH663" t="s">
        <v>74</v>
      </c>
      <c r="BI663">
        <v>7</v>
      </c>
      <c r="BJ663" t="s">
        <v>113</v>
      </c>
      <c r="BK663" t="s">
        <v>88</v>
      </c>
      <c r="BL663" t="s">
        <v>113</v>
      </c>
      <c r="BM663" t="s">
        <v>9037</v>
      </c>
      <c r="BN663" t="s">
        <v>74</v>
      </c>
      <c r="BO663" t="s">
        <v>74</v>
      </c>
      <c r="BP663" t="s">
        <v>74</v>
      </c>
      <c r="BQ663" t="s">
        <v>74</v>
      </c>
      <c r="BR663" t="s">
        <v>91</v>
      </c>
      <c r="BS663" t="s">
        <v>9038</v>
      </c>
      <c r="BT663" t="str">
        <f>HYPERLINK("https%3A%2F%2Fwww.webofscience.com%2Fwos%2Fwoscc%2Ffull-record%2FWOS:000168457600016","View Full Record in Web of Science")</f>
        <v>View Full Record in Web of Science</v>
      </c>
    </row>
    <row r="664" spans="1:72" x14ac:dyDescent="0.15">
      <c r="A664" t="s">
        <v>72</v>
      </c>
      <c r="B664" t="s">
        <v>9039</v>
      </c>
      <c r="C664" t="s">
        <v>74</v>
      </c>
      <c r="D664" t="s">
        <v>74</v>
      </c>
      <c r="E664" t="s">
        <v>74</v>
      </c>
      <c r="F664" t="s">
        <v>9039</v>
      </c>
      <c r="G664" t="s">
        <v>74</v>
      </c>
      <c r="H664" t="s">
        <v>74</v>
      </c>
      <c r="I664" t="s">
        <v>9040</v>
      </c>
      <c r="J664" t="s">
        <v>9041</v>
      </c>
      <c r="K664" t="s">
        <v>74</v>
      </c>
      <c r="L664" t="s">
        <v>74</v>
      </c>
      <c r="M664" t="s">
        <v>77</v>
      </c>
      <c r="N664" t="s">
        <v>120</v>
      </c>
      <c r="O664" t="s">
        <v>74</v>
      </c>
      <c r="P664" t="s">
        <v>74</v>
      </c>
      <c r="Q664" t="s">
        <v>74</v>
      </c>
      <c r="R664" t="s">
        <v>74</v>
      </c>
      <c r="S664" t="s">
        <v>74</v>
      </c>
      <c r="T664" t="s">
        <v>9042</v>
      </c>
      <c r="U664" t="s">
        <v>9043</v>
      </c>
      <c r="V664" t="s">
        <v>9044</v>
      </c>
      <c r="W664" t="s">
        <v>8607</v>
      </c>
      <c r="X664" t="s">
        <v>2657</v>
      </c>
      <c r="Y664" t="s">
        <v>9045</v>
      </c>
      <c r="Z664" t="s">
        <v>9046</v>
      </c>
      <c r="AA664" t="s">
        <v>9047</v>
      </c>
      <c r="AB664" t="s">
        <v>74</v>
      </c>
      <c r="AC664" t="s">
        <v>74</v>
      </c>
      <c r="AD664" t="s">
        <v>74</v>
      </c>
      <c r="AE664" t="s">
        <v>74</v>
      </c>
      <c r="AF664" t="s">
        <v>74</v>
      </c>
      <c r="AG664">
        <v>19</v>
      </c>
      <c r="AH664">
        <v>8</v>
      </c>
      <c r="AI664">
        <v>9</v>
      </c>
      <c r="AJ664">
        <v>0</v>
      </c>
      <c r="AK664">
        <v>5</v>
      </c>
      <c r="AL664" t="s">
        <v>9048</v>
      </c>
      <c r="AM664" t="s">
        <v>9049</v>
      </c>
      <c r="AN664" t="s">
        <v>9050</v>
      </c>
      <c r="AO664" t="s">
        <v>9051</v>
      </c>
      <c r="AP664" t="s">
        <v>9052</v>
      </c>
      <c r="AQ664" t="s">
        <v>74</v>
      </c>
      <c r="AR664" t="s">
        <v>9053</v>
      </c>
      <c r="AS664" t="s">
        <v>9054</v>
      </c>
      <c r="AT664" t="s">
        <v>9036</v>
      </c>
      <c r="AU664">
        <v>2001</v>
      </c>
      <c r="AV664">
        <v>36</v>
      </c>
      <c r="AW664">
        <v>1</v>
      </c>
      <c r="AX664" t="s">
        <v>74</v>
      </c>
      <c r="AY664" t="s">
        <v>74</v>
      </c>
      <c r="AZ664" t="s">
        <v>74</v>
      </c>
      <c r="BA664" t="s">
        <v>74</v>
      </c>
      <c r="BB664">
        <v>45</v>
      </c>
      <c r="BC664">
        <v>53</v>
      </c>
      <c r="BD664" t="s">
        <v>74</v>
      </c>
      <c r="BE664" t="s">
        <v>74</v>
      </c>
      <c r="BF664" t="s">
        <v>74</v>
      </c>
      <c r="BG664" t="s">
        <v>74</v>
      </c>
      <c r="BH664" t="s">
        <v>74</v>
      </c>
      <c r="BI664">
        <v>9</v>
      </c>
      <c r="BJ664" t="s">
        <v>408</v>
      </c>
      <c r="BK664" t="s">
        <v>88</v>
      </c>
      <c r="BL664" t="s">
        <v>408</v>
      </c>
      <c r="BM664" t="s">
        <v>9055</v>
      </c>
      <c r="BN664" t="s">
        <v>74</v>
      </c>
      <c r="BO664" t="s">
        <v>74</v>
      </c>
      <c r="BP664" t="s">
        <v>74</v>
      </c>
      <c r="BQ664" t="s">
        <v>74</v>
      </c>
      <c r="BR664" t="s">
        <v>91</v>
      </c>
      <c r="BS664" t="s">
        <v>9056</v>
      </c>
      <c r="BT664" t="str">
        <f>HYPERLINK("https%3A%2F%2Fwww.webofscience.com%2Fwos%2Fwoscc%2Ffull-record%2FWOS:000169271500006","View Full Record in Web of Science")</f>
        <v>View Full Record in Web of Science</v>
      </c>
    </row>
    <row r="665" spans="1:72" x14ac:dyDescent="0.15">
      <c r="A665" t="s">
        <v>72</v>
      </c>
      <c r="B665" t="s">
        <v>9057</v>
      </c>
      <c r="C665" t="s">
        <v>74</v>
      </c>
      <c r="D665" t="s">
        <v>74</v>
      </c>
      <c r="E665" t="s">
        <v>74</v>
      </c>
      <c r="F665" t="s">
        <v>9057</v>
      </c>
      <c r="G665" t="s">
        <v>74</v>
      </c>
      <c r="H665" t="s">
        <v>74</v>
      </c>
      <c r="I665" t="s">
        <v>9058</v>
      </c>
      <c r="J665" t="s">
        <v>9059</v>
      </c>
      <c r="K665" t="s">
        <v>74</v>
      </c>
      <c r="L665" t="s">
        <v>74</v>
      </c>
      <c r="M665" t="s">
        <v>77</v>
      </c>
      <c r="N665" t="s">
        <v>696</v>
      </c>
      <c r="O665" t="s">
        <v>74</v>
      </c>
      <c r="P665" t="s">
        <v>74</v>
      </c>
      <c r="Q665" t="s">
        <v>74</v>
      </c>
      <c r="R665" t="s">
        <v>74</v>
      </c>
      <c r="S665" t="s">
        <v>74</v>
      </c>
      <c r="T665" t="s">
        <v>74</v>
      </c>
      <c r="U665" t="s">
        <v>74</v>
      </c>
      <c r="V665" t="s">
        <v>74</v>
      </c>
      <c r="W665" t="s">
        <v>9060</v>
      </c>
      <c r="X665" t="s">
        <v>74</v>
      </c>
      <c r="Y665" t="s">
        <v>9061</v>
      </c>
      <c r="Z665" t="s">
        <v>74</v>
      </c>
      <c r="AA665" t="s">
        <v>74</v>
      </c>
      <c r="AB665" t="s">
        <v>74</v>
      </c>
      <c r="AC665" t="s">
        <v>74</v>
      </c>
      <c r="AD665" t="s">
        <v>74</v>
      </c>
      <c r="AE665" t="s">
        <v>74</v>
      </c>
      <c r="AF665" t="s">
        <v>74</v>
      </c>
      <c r="AG665">
        <v>1</v>
      </c>
      <c r="AH665">
        <v>0</v>
      </c>
      <c r="AI665">
        <v>0</v>
      </c>
      <c r="AJ665">
        <v>0</v>
      </c>
      <c r="AK665">
        <v>0</v>
      </c>
      <c r="AL665" t="s">
        <v>1293</v>
      </c>
      <c r="AM665" t="s">
        <v>204</v>
      </c>
      <c r="AN665" t="s">
        <v>1699</v>
      </c>
      <c r="AO665" t="s">
        <v>9062</v>
      </c>
      <c r="AP665" t="s">
        <v>9063</v>
      </c>
      <c r="AQ665" t="s">
        <v>74</v>
      </c>
      <c r="AR665" t="s">
        <v>9064</v>
      </c>
      <c r="AS665" t="s">
        <v>9065</v>
      </c>
      <c r="AT665" t="s">
        <v>9036</v>
      </c>
      <c r="AU665">
        <v>2001</v>
      </c>
      <c r="AV665">
        <v>95</v>
      </c>
      <c r="AW665">
        <v>2</v>
      </c>
      <c r="AX665" t="s">
        <v>74</v>
      </c>
      <c r="AY665" t="s">
        <v>74</v>
      </c>
      <c r="AZ665" t="s">
        <v>74</v>
      </c>
      <c r="BA665" t="s">
        <v>74</v>
      </c>
      <c r="BB665">
        <v>481</v>
      </c>
      <c r="BC665">
        <v>484</v>
      </c>
      <c r="BD665" t="s">
        <v>74</v>
      </c>
      <c r="BE665" t="s">
        <v>74</v>
      </c>
      <c r="BF665" t="s">
        <v>74</v>
      </c>
      <c r="BG665" t="s">
        <v>74</v>
      </c>
      <c r="BH665" t="s">
        <v>74</v>
      </c>
      <c r="BI665">
        <v>4</v>
      </c>
      <c r="BJ665" t="s">
        <v>9066</v>
      </c>
      <c r="BK665" t="s">
        <v>1796</v>
      </c>
      <c r="BL665" t="s">
        <v>9067</v>
      </c>
      <c r="BM665" t="s">
        <v>9068</v>
      </c>
      <c r="BN665" t="s">
        <v>74</v>
      </c>
      <c r="BO665" t="s">
        <v>74</v>
      </c>
      <c r="BP665" t="s">
        <v>74</v>
      </c>
      <c r="BQ665" t="s">
        <v>74</v>
      </c>
      <c r="BR665" t="s">
        <v>91</v>
      </c>
      <c r="BS665" t="s">
        <v>9069</v>
      </c>
      <c r="BT665" t="str">
        <f>HYPERLINK("https%3A%2F%2Fwww.webofscience.com%2Fwos%2Fwoscc%2Ffull-record%2FWOS:000169768000015","View Full Record in Web of Science")</f>
        <v>View Full Record in Web of Science</v>
      </c>
    </row>
    <row r="666" spans="1:72" x14ac:dyDescent="0.15">
      <c r="A666" t="s">
        <v>72</v>
      </c>
      <c r="B666" t="s">
        <v>9070</v>
      </c>
      <c r="C666" t="s">
        <v>74</v>
      </c>
      <c r="D666" t="s">
        <v>74</v>
      </c>
      <c r="E666" t="s">
        <v>74</v>
      </c>
      <c r="F666" t="s">
        <v>9070</v>
      </c>
      <c r="G666" t="s">
        <v>74</v>
      </c>
      <c r="H666" t="s">
        <v>74</v>
      </c>
      <c r="I666" t="s">
        <v>9071</v>
      </c>
      <c r="J666" t="s">
        <v>9072</v>
      </c>
      <c r="K666" t="s">
        <v>74</v>
      </c>
      <c r="L666" t="s">
        <v>74</v>
      </c>
      <c r="M666" t="s">
        <v>77</v>
      </c>
      <c r="N666" t="s">
        <v>120</v>
      </c>
      <c r="O666" t="s">
        <v>74</v>
      </c>
      <c r="P666" t="s">
        <v>74</v>
      </c>
      <c r="Q666" t="s">
        <v>74</v>
      </c>
      <c r="R666" t="s">
        <v>74</v>
      </c>
      <c r="S666" t="s">
        <v>74</v>
      </c>
      <c r="T666" t="s">
        <v>9073</v>
      </c>
      <c r="U666" t="s">
        <v>9074</v>
      </c>
      <c r="V666" t="s">
        <v>9075</v>
      </c>
      <c r="W666" t="s">
        <v>9076</v>
      </c>
      <c r="X666" t="s">
        <v>9077</v>
      </c>
      <c r="Y666" t="s">
        <v>9078</v>
      </c>
      <c r="Z666" t="s">
        <v>74</v>
      </c>
      <c r="AA666" t="s">
        <v>74</v>
      </c>
      <c r="AB666" t="s">
        <v>9079</v>
      </c>
      <c r="AC666" t="s">
        <v>74</v>
      </c>
      <c r="AD666" t="s">
        <v>74</v>
      </c>
      <c r="AE666" t="s">
        <v>74</v>
      </c>
      <c r="AF666" t="s">
        <v>74</v>
      </c>
      <c r="AG666">
        <v>46</v>
      </c>
      <c r="AH666">
        <v>11</v>
      </c>
      <c r="AI666">
        <v>11</v>
      </c>
      <c r="AJ666">
        <v>0</v>
      </c>
      <c r="AK666">
        <v>4</v>
      </c>
      <c r="AL666" t="s">
        <v>9080</v>
      </c>
      <c r="AM666" t="s">
        <v>5637</v>
      </c>
      <c r="AN666" t="s">
        <v>8810</v>
      </c>
      <c r="AO666" t="s">
        <v>9081</v>
      </c>
      <c r="AP666" t="s">
        <v>74</v>
      </c>
      <c r="AQ666" t="s">
        <v>74</v>
      </c>
      <c r="AR666" t="s">
        <v>9082</v>
      </c>
      <c r="AS666" t="s">
        <v>9083</v>
      </c>
      <c r="AT666" t="s">
        <v>9036</v>
      </c>
      <c r="AU666">
        <v>2001</v>
      </c>
      <c r="AV666">
        <v>280</v>
      </c>
      <c r="AW666">
        <v>4</v>
      </c>
      <c r="AX666" t="s">
        <v>74</v>
      </c>
      <c r="AY666" t="s">
        <v>74</v>
      </c>
      <c r="AZ666" t="s">
        <v>74</v>
      </c>
      <c r="BA666" t="s">
        <v>74</v>
      </c>
      <c r="BB666" t="s">
        <v>9084</v>
      </c>
      <c r="BC666" t="s">
        <v>9085</v>
      </c>
      <c r="BD666" t="s">
        <v>74</v>
      </c>
      <c r="BE666" t="s">
        <v>9086</v>
      </c>
      <c r="BF666" t="str">
        <f>HYPERLINK("http://dx.doi.org/10.1152/ajpregu.2001.280.4.R1197","http://dx.doi.org/10.1152/ajpregu.2001.280.4.R1197")</f>
        <v>http://dx.doi.org/10.1152/ajpregu.2001.280.4.R1197</v>
      </c>
      <c r="BG666" t="s">
        <v>74</v>
      </c>
      <c r="BH666" t="s">
        <v>74</v>
      </c>
      <c r="BI666">
        <v>9</v>
      </c>
      <c r="BJ666" t="s">
        <v>9087</v>
      </c>
      <c r="BK666" t="s">
        <v>88</v>
      </c>
      <c r="BL666" t="s">
        <v>9087</v>
      </c>
      <c r="BM666" t="s">
        <v>9088</v>
      </c>
      <c r="BN666">
        <v>11247845</v>
      </c>
      <c r="BO666" t="s">
        <v>171</v>
      </c>
      <c r="BP666" t="s">
        <v>74</v>
      </c>
      <c r="BQ666" t="s">
        <v>74</v>
      </c>
      <c r="BR666" t="s">
        <v>91</v>
      </c>
      <c r="BS666" t="s">
        <v>9089</v>
      </c>
      <c r="BT666" t="str">
        <f>HYPERLINK("https%3A%2F%2Fwww.webofscience.com%2Fwos%2Fwoscc%2Ffull-record%2FWOS:000167445600036","View Full Record in Web of Science")</f>
        <v>View Full Record in Web of Science</v>
      </c>
    </row>
    <row r="667" spans="1:72" x14ac:dyDescent="0.15">
      <c r="A667" t="s">
        <v>72</v>
      </c>
      <c r="B667" t="s">
        <v>9090</v>
      </c>
      <c r="C667" t="s">
        <v>74</v>
      </c>
      <c r="D667" t="s">
        <v>74</v>
      </c>
      <c r="E667" t="s">
        <v>74</v>
      </c>
      <c r="F667" t="s">
        <v>9090</v>
      </c>
      <c r="G667" t="s">
        <v>74</v>
      </c>
      <c r="H667" t="s">
        <v>74</v>
      </c>
      <c r="I667" t="s">
        <v>9091</v>
      </c>
      <c r="J667" t="s">
        <v>9072</v>
      </c>
      <c r="K667" t="s">
        <v>74</v>
      </c>
      <c r="L667" t="s">
        <v>74</v>
      </c>
      <c r="M667" t="s">
        <v>77</v>
      </c>
      <c r="N667" t="s">
        <v>120</v>
      </c>
      <c r="O667" t="s">
        <v>74</v>
      </c>
      <c r="P667" t="s">
        <v>74</v>
      </c>
      <c r="Q667" t="s">
        <v>74</v>
      </c>
      <c r="R667" t="s">
        <v>74</v>
      </c>
      <c r="S667" t="s">
        <v>74</v>
      </c>
      <c r="T667" t="s">
        <v>9092</v>
      </c>
      <c r="U667" t="s">
        <v>9093</v>
      </c>
      <c r="V667" t="s">
        <v>9094</v>
      </c>
      <c r="W667" t="s">
        <v>9095</v>
      </c>
      <c r="X667" t="s">
        <v>9096</v>
      </c>
      <c r="Y667" t="s">
        <v>9097</v>
      </c>
      <c r="Z667" t="s">
        <v>74</v>
      </c>
      <c r="AA667" t="s">
        <v>74</v>
      </c>
      <c r="AB667" t="s">
        <v>9098</v>
      </c>
      <c r="AC667" t="s">
        <v>74</v>
      </c>
      <c r="AD667" t="s">
        <v>74</v>
      </c>
      <c r="AE667" t="s">
        <v>74</v>
      </c>
      <c r="AF667" t="s">
        <v>74</v>
      </c>
      <c r="AG667">
        <v>59</v>
      </c>
      <c r="AH667">
        <v>55</v>
      </c>
      <c r="AI667">
        <v>69</v>
      </c>
      <c r="AJ667">
        <v>1</v>
      </c>
      <c r="AK667">
        <v>15</v>
      </c>
      <c r="AL667" t="s">
        <v>9080</v>
      </c>
      <c r="AM667" t="s">
        <v>5637</v>
      </c>
      <c r="AN667" t="s">
        <v>8810</v>
      </c>
      <c r="AO667" t="s">
        <v>9081</v>
      </c>
      <c r="AP667" t="s">
        <v>74</v>
      </c>
      <c r="AQ667" t="s">
        <v>74</v>
      </c>
      <c r="AR667" t="s">
        <v>9082</v>
      </c>
      <c r="AS667" t="s">
        <v>9083</v>
      </c>
      <c r="AT667" t="s">
        <v>9036</v>
      </c>
      <c r="AU667">
        <v>2001</v>
      </c>
      <c r="AV667">
        <v>280</v>
      </c>
      <c r="AW667">
        <v>4</v>
      </c>
      <c r="AX667" t="s">
        <v>74</v>
      </c>
      <c r="AY667" t="s">
        <v>74</v>
      </c>
      <c r="AZ667" t="s">
        <v>74</v>
      </c>
      <c r="BA667" t="s">
        <v>74</v>
      </c>
      <c r="BB667" t="s">
        <v>9099</v>
      </c>
      <c r="BC667" t="s">
        <v>9100</v>
      </c>
      <c r="BD667" t="s">
        <v>74</v>
      </c>
      <c r="BE667" t="s">
        <v>9101</v>
      </c>
      <c r="BF667" t="str">
        <f>HYPERLINK("http://dx.doi.org/10.1152/ajpregu.2001.280.4.R1123","http://dx.doi.org/10.1152/ajpregu.2001.280.4.R1123")</f>
        <v>http://dx.doi.org/10.1152/ajpregu.2001.280.4.R1123</v>
      </c>
      <c r="BG667" t="s">
        <v>74</v>
      </c>
      <c r="BH667" t="s">
        <v>74</v>
      </c>
      <c r="BI667">
        <v>11</v>
      </c>
      <c r="BJ667" t="s">
        <v>9087</v>
      </c>
      <c r="BK667" t="s">
        <v>88</v>
      </c>
      <c r="BL667" t="s">
        <v>9087</v>
      </c>
      <c r="BM667" t="s">
        <v>9088</v>
      </c>
      <c r="BN667">
        <v>11247835</v>
      </c>
      <c r="BO667" t="s">
        <v>74</v>
      </c>
      <c r="BP667" t="s">
        <v>74</v>
      </c>
      <c r="BQ667" t="s">
        <v>74</v>
      </c>
      <c r="BR667" t="s">
        <v>91</v>
      </c>
      <c r="BS667" t="s">
        <v>9102</v>
      </c>
      <c r="BT667" t="str">
        <f>HYPERLINK("https%3A%2F%2Fwww.webofscience.com%2Fwos%2Fwoscc%2Ffull-record%2FWOS:000167445600026","View Full Record in Web of Science")</f>
        <v>View Full Record in Web of Science</v>
      </c>
    </row>
    <row r="668" spans="1:72" x14ac:dyDescent="0.15">
      <c r="A668" t="s">
        <v>72</v>
      </c>
      <c r="B668" t="s">
        <v>9103</v>
      </c>
      <c r="C668" t="s">
        <v>74</v>
      </c>
      <c r="D668" t="s">
        <v>74</v>
      </c>
      <c r="E668" t="s">
        <v>74</v>
      </c>
      <c r="F668" t="s">
        <v>9103</v>
      </c>
      <c r="G668" t="s">
        <v>74</v>
      </c>
      <c r="H668" t="s">
        <v>74</v>
      </c>
      <c r="I668" t="s">
        <v>9104</v>
      </c>
      <c r="J668" t="s">
        <v>5718</v>
      </c>
      <c r="K668" t="s">
        <v>74</v>
      </c>
      <c r="L668" t="s">
        <v>74</v>
      </c>
      <c r="M668" t="s">
        <v>77</v>
      </c>
      <c r="N668" t="s">
        <v>120</v>
      </c>
      <c r="O668" t="s">
        <v>74</v>
      </c>
      <c r="P668" t="s">
        <v>74</v>
      </c>
      <c r="Q668" t="s">
        <v>74</v>
      </c>
      <c r="R668" t="s">
        <v>74</v>
      </c>
      <c r="S668" t="s">
        <v>74</v>
      </c>
      <c r="T668" t="s">
        <v>9105</v>
      </c>
      <c r="U668" t="s">
        <v>9106</v>
      </c>
      <c r="V668" t="s">
        <v>9107</v>
      </c>
      <c r="W668" t="s">
        <v>9108</v>
      </c>
      <c r="X668" t="s">
        <v>9109</v>
      </c>
      <c r="Y668" t="s">
        <v>9110</v>
      </c>
      <c r="Z668" t="s">
        <v>9111</v>
      </c>
      <c r="AA668" t="s">
        <v>9112</v>
      </c>
      <c r="AB668" t="s">
        <v>9113</v>
      </c>
      <c r="AC668" t="s">
        <v>74</v>
      </c>
      <c r="AD668" t="s">
        <v>74</v>
      </c>
      <c r="AE668" t="s">
        <v>74</v>
      </c>
      <c r="AF668" t="s">
        <v>74</v>
      </c>
      <c r="AG668">
        <v>86</v>
      </c>
      <c r="AH668">
        <v>69</v>
      </c>
      <c r="AI668">
        <v>70</v>
      </c>
      <c r="AJ668">
        <v>0</v>
      </c>
      <c r="AK668">
        <v>8</v>
      </c>
      <c r="AL668" t="s">
        <v>9114</v>
      </c>
      <c r="AM668" t="s">
        <v>9115</v>
      </c>
      <c r="AN668" t="s">
        <v>9116</v>
      </c>
      <c r="AO668" t="s">
        <v>5728</v>
      </c>
      <c r="AP668" t="s">
        <v>9117</v>
      </c>
      <c r="AQ668" t="s">
        <v>74</v>
      </c>
      <c r="AR668" t="s">
        <v>9118</v>
      </c>
      <c r="AS668" t="s">
        <v>5730</v>
      </c>
      <c r="AT668" t="s">
        <v>9036</v>
      </c>
      <c r="AU668">
        <v>2001</v>
      </c>
      <c r="AV668">
        <v>19</v>
      </c>
      <c r="AW668">
        <v>4</v>
      </c>
      <c r="AX668" t="s">
        <v>74</v>
      </c>
      <c r="AY668" t="s">
        <v>74</v>
      </c>
      <c r="AZ668" t="s">
        <v>74</v>
      </c>
      <c r="BA668" t="s">
        <v>74</v>
      </c>
      <c r="BB668">
        <v>435</v>
      </c>
      <c r="BC668">
        <v>457</v>
      </c>
      <c r="BD668" t="s">
        <v>74</v>
      </c>
      <c r="BE668" t="s">
        <v>9119</v>
      </c>
      <c r="BF668" t="str">
        <f>HYPERLINK("http://dx.doi.org/10.5194/angeo-19-435-2001","http://dx.doi.org/10.5194/angeo-19-435-2001")</f>
        <v>http://dx.doi.org/10.5194/angeo-19-435-2001</v>
      </c>
      <c r="BG668" t="s">
        <v>74</v>
      </c>
      <c r="BH668" t="s">
        <v>74</v>
      </c>
      <c r="BI668">
        <v>23</v>
      </c>
      <c r="BJ668" t="s">
        <v>5732</v>
      </c>
      <c r="BK668" t="s">
        <v>88</v>
      </c>
      <c r="BL668" t="s">
        <v>5733</v>
      </c>
      <c r="BM668" t="s">
        <v>9120</v>
      </c>
      <c r="BN668" t="s">
        <v>74</v>
      </c>
      <c r="BO668" t="s">
        <v>325</v>
      </c>
      <c r="BP668" t="s">
        <v>74</v>
      </c>
      <c r="BQ668" t="s">
        <v>74</v>
      </c>
      <c r="BR668" t="s">
        <v>91</v>
      </c>
      <c r="BS668" t="s">
        <v>9121</v>
      </c>
      <c r="BT668" t="str">
        <f>HYPERLINK("https%3A%2F%2Fwww.webofscience.com%2Fwos%2Fwoscc%2Ffull-record%2FWOS:000169900900004","View Full Record in Web of Science")</f>
        <v>View Full Record in Web of Science</v>
      </c>
    </row>
    <row r="669" spans="1:72" x14ac:dyDescent="0.15">
      <c r="A669" t="s">
        <v>72</v>
      </c>
      <c r="B669" t="s">
        <v>9122</v>
      </c>
      <c r="C669" t="s">
        <v>74</v>
      </c>
      <c r="D669" t="s">
        <v>74</v>
      </c>
      <c r="E669" t="s">
        <v>74</v>
      </c>
      <c r="F669" t="s">
        <v>9122</v>
      </c>
      <c r="G669" t="s">
        <v>74</v>
      </c>
      <c r="H669" t="s">
        <v>74</v>
      </c>
      <c r="I669" t="s">
        <v>9123</v>
      </c>
      <c r="J669" t="s">
        <v>745</v>
      </c>
      <c r="K669" t="s">
        <v>74</v>
      </c>
      <c r="L669" t="s">
        <v>74</v>
      </c>
      <c r="M669" t="s">
        <v>77</v>
      </c>
      <c r="N669" t="s">
        <v>120</v>
      </c>
      <c r="O669" t="s">
        <v>74</v>
      </c>
      <c r="P669" t="s">
        <v>74</v>
      </c>
      <c r="Q669" t="s">
        <v>74</v>
      </c>
      <c r="R669" t="s">
        <v>74</v>
      </c>
      <c r="S669" t="s">
        <v>74</v>
      </c>
      <c r="T669" t="s">
        <v>74</v>
      </c>
      <c r="U669" t="s">
        <v>9124</v>
      </c>
      <c r="V669" t="s">
        <v>9125</v>
      </c>
      <c r="W669" t="s">
        <v>9126</v>
      </c>
      <c r="X669" t="s">
        <v>5633</v>
      </c>
      <c r="Y669" t="s">
        <v>9127</v>
      </c>
      <c r="Z669" t="s">
        <v>74</v>
      </c>
      <c r="AA669" t="s">
        <v>9128</v>
      </c>
      <c r="AB669" t="s">
        <v>9129</v>
      </c>
      <c r="AC669" t="s">
        <v>74</v>
      </c>
      <c r="AD669" t="s">
        <v>74</v>
      </c>
      <c r="AE669" t="s">
        <v>74</v>
      </c>
      <c r="AF669" t="s">
        <v>74</v>
      </c>
      <c r="AG669">
        <v>32</v>
      </c>
      <c r="AH669">
        <v>142</v>
      </c>
      <c r="AI669">
        <v>164</v>
      </c>
      <c r="AJ669">
        <v>0</v>
      </c>
      <c r="AK669">
        <v>33</v>
      </c>
      <c r="AL669" t="s">
        <v>753</v>
      </c>
      <c r="AM669" t="s">
        <v>150</v>
      </c>
      <c r="AN669" t="s">
        <v>754</v>
      </c>
      <c r="AO669" t="s">
        <v>755</v>
      </c>
      <c r="AP669" t="s">
        <v>74</v>
      </c>
      <c r="AQ669" t="s">
        <v>74</v>
      </c>
      <c r="AR669" t="s">
        <v>756</v>
      </c>
      <c r="AS669" t="s">
        <v>757</v>
      </c>
      <c r="AT669" t="s">
        <v>9036</v>
      </c>
      <c r="AU669">
        <v>2001</v>
      </c>
      <c r="AV669">
        <v>67</v>
      </c>
      <c r="AW669">
        <v>4</v>
      </c>
      <c r="AX669" t="s">
        <v>74</v>
      </c>
      <c r="AY669" t="s">
        <v>74</v>
      </c>
      <c r="AZ669" t="s">
        <v>74</v>
      </c>
      <c r="BA669" t="s">
        <v>74</v>
      </c>
      <c r="BB669">
        <v>1529</v>
      </c>
      <c r="BC669">
        <v>1535</v>
      </c>
      <c r="BD669" t="s">
        <v>74</v>
      </c>
      <c r="BE669" t="s">
        <v>9130</v>
      </c>
      <c r="BF669" t="str">
        <f>HYPERLINK("http://dx.doi.org/10.1128/AEM.67.4.1529-1535.2001","http://dx.doi.org/10.1128/AEM.67.4.1529-1535.2001")</f>
        <v>http://dx.doi.org/10.1128/AEM.67.4.1529-1535.2001</v>
      </c>
      <c r="BG669" t="s">
        <v>74</v>
      </c>
      <c r="BH669" t="s">
        <v>74</v>
      </c>
      <c r="BI669">
        <v>7</v>
      </c>
      <c r="BJ669" t="s">
        <v>759</v>
      </c>
      <c r="BK669" t="s">
        <v>88</v>
      </c>
      <c r="BL669" t="s">
        <v>759</v>
      </c>
      <c r="BM669" t="s">
        <v>9131</v>
      </c>
      <c r="BN669">
        <v>11282601</v>
      </c>
      <c r="BO669" t="s">
        <v>761</v>
      </c>
      <c r="BP669" t="s">
        <v>74</v>
      </c>
      <c r="BQ669" t="s">
        <v>74</v>
      </c>
      <c r="BR669" t="s">
        <v>91</v>
      </c>
      <c r="BS669" t="s">
        <v>9132</v>
      </c>
      <c r="BT669" t="str">
        <f>HYPERLINK("https%3A%2F%2Fwww.webofscience.com%2Fwos%2Fwoscc%2Ffull-record%2FWOS:000167865500020","View Full Record in Web of Science")</f>
        <v>View Full Record in Web of Science</v>
      </c>
    </row>
    <row r="670" spans="1:72" x14ac:dyDescent="0.15">
      <c r="A670" t="s">
        <v>72</v>
      </c>
      <c r="B670" t="s">
        <v>9133</v>
      </c>
      <c r="C670" t="s">
        <v>74</v>
      </c>
      <c r="D670" t="s">
        <v>74</v>
      </c>
      <c r="E670" t="s">
        <v>74</v>
      </c>
      <c r="F670" t="s">
        <v>9133</v>
      </c>
      <c r="G670" t="s">
        <v>74</v>
      </c>
      <c r="H670" t="s">
        <v>74</v>
      </c>
      <c r="I670" t="s">
        <v>9134</v>
      </c>
      <c r="J670" t="s">
        <v>9135</v>
      </c>
      <c r="K670" t="s">
        <v>74</v>
      </c>
      <c r="L670" t="s">
        <v>74</v>
      </c>
      <c r="M670" t="s">
        <v>77</v>
      </c>
      <c r="N670" t="s">
        <v>120</v>
      </c>
      <c r="O670" t="s">
        <v>74</v>
      </c>
      <c r="P670" t="s">
        <v>74</v>
      </c>
      <c r="Q670" t="s">
        <v>74</v>
      </c>
      <c r="R670" t="s">
        <v>74</v>
      </c>
      <c r="S670" t="s">
        <v>74</v>
      </c>
      <c r="T670" t="s">
        <v>74</v>
      </c>
      <c r="U670" t="s">
        <v>9136</v>
      </c>
      <c r="V670" t="s">
        <v>9137</v>
      </c>
      <c r="W670" t="s">
        <v>9138</v>
      </c>
      <c r="X670" t="s">
        <v>462</v>
      </c>
      <c r="Y670" t="s">
        <v>9139</v>
      </c>
      <c r="Z670" t="s">
        <v>74</v>
      </c>
      <c r="AA670" t="s">
        <v>9140</v>
      </c>
      <c r="AB670" t="s">
        <v>9141</v>
      </c>
      <c r="AC670" t="s">
        <v>74</v>
      </c>
      <c r="AD670" t="s">
        <v>74</v>
      </c>
      <c r="AE670" t="s">
        <v>74</v>
      </c>
      <c r="AF670" t="s">
        <v>74</v>
      </c>
      <c r="AG670">
        <v>23</v>
      </c>
      <c r="AH670">
        <v>28</v>
      </c>
      <c r="AI670">
        <v>30</v>
      </c>
      <c r="AJ670">
        <v>1</v>
      </c>
      <c r="AK670">
        <v>13</v>
      </c>
      <c r="AL670" t="s">
        <v>9142</v>
      </c>
      <c r="AM670" t="s">
        <v>994</v>
      </c>
      <c r="AN670" t="s">
        <v>995</v>
      </c>
      <c r="AO670" t="s">
        <v>9143</v>
      </c>
      <c r="AP670" t="s">
        <v>74</v>
      </c>
      <c r="AQ670" t="s">
        <v>74</v>
      </c>
      <c r="AR670" t="s">
        <v>9135</v>
      </c>
      <c r="AS670" t="s">
        <v>9135</v>
      </c>
      <c r="AT670" t="s">
        <v>9036</v>
      </c>
      <c r="AU670">
        <v>2001</v>
      </c>
      <c r="AV670">
        <v>118</v>
      </c>
      <c r="AW670">
        <v>2</v>
      </c>
      <c r="AX670" t="s">
        <v>74</v>
      </c>
      <c r="AY670" t="s">
        <v>74</v>
      </c>
      <c r="AZ670" t="s">
        <v>74</v>
      </c>
      <c r="BA670" t="s">
        <v>74</v>
      </c>
      <c r="BB670">
        <v>529</v>
      </c>
      <c r="BC670">
        <v>534</v>
      </c>
      <c r="BD670" t="s">
        <v>74</v>
      </c>
      <c r="BE670" t="s">
        <v>9144</v>
      </c>
      <c r="BF670" t="str">
        <f>HYPERLINK("http://dx.doi.org/10.1642/0004-8038(2001)118[0529:DDONGA]2.0.CO;2","http://dx.doi.org/10.1642/0004-8038(2001)118[0529:DDONGA]2.0.CO;2")</f>
        <v>http://dx.doi.org/10.1642/0004-8038(2001)118[0529:DDONGA]2.0.CO;2</v>
      </c>
      <c r="BG670" t="s">
        <v>74</v>
      </c>
      <c r="BH670" t="s">
        <v>74</v>
      </c>
      <c r="BI670">
        <v>6</v>
      </c>
      <c r="BJ670" t="s">
        <v>999</v>
      </c>
      <c r="BK670" t="s">
        <v>88</v>
      </c>
      <c r="BL670" t="s">
        <v>408</v>
      </c>
      <c r="BM670" t="s">
        <v>9145</v>
      </c>
      <c r="BN670" t="s">
        <v>74</v>
      </c>
      <c r="BO670" t="s">
        <v>171</v>
      </c>
      <c r="BP670" t="s">
        <v>74</v>
      </c>
      <c r="BQ670" t="s">
        <v>74</v>
      </c>
      <c r="BR670" t="s">
        <v>91</v>
      </c>
      <c r="BS670" t="s">
        <v>9146</v>
      </c>
      <c r="BT670" t="str">
        <f>HYPERLINK("https%3A%2F%2Fwww.webofscience.com%2Fwos%2Fwoscc%2Ffull-record%2FWOS:000169466700026","View Full Record in Web of Science")</f>
        <v>View Full Record in Web of Science</v>
      </c>
    </row>
    <row r="671" spans="1:72" x14ac:dyDescent="0.15">
      <c r="A671" t="s">
        <v>72</v>
      </c>
      <c r="B671" t="s">
        <v>9147</v>
      </c>
      <c r="C671" t="s">
        <v>74</v>
      </c>
      <c r="D671" t="s">
        <v>74</v>
      </c>
      <c r="E671" t="s">
        <v>74</v>
      </c>
      <c r="F671" t="s">
        <v>9147</v>
      </c>
      <c r="G671" t="s">
        <v>74</v>
      </c>
      <c r="H671" t="s">
        <v>74</v>
      </c>
      <c r="I671" t="s">
        <v>9148</v>
      </c>
      <c r="J671" t="s">
        <v>9149</v>
      </c>
      <c r="K671" t="s">
        <v>74</v>
      </c>
      <c r="L671" t="s">
        <v>74</v>
      </c>
      <c r="M671" t="s">
        <v>77</v>
      </c>
      <c r="N671" t="s">
        <v>120</v>
      </c>
      <c r="O671" t="s">
        <v>74</v>
      </c>
      <c r="P671" t="s">
        <v>74</v>
      </c>
      <c r="Q671" t="s">
        <v>74</v>
      </c>
      <c r="R671" t="s">
        <v>74</v>
      </c>
      <c r="S671" t="s">
        <v>74</v>
      </c>
      <c r="T671" t="s">
        <v>9150</v>
      </c>
      <c r="U671" t="s">
        <v>9151</v>
      </c>
      <c r="V671" t="s">
        <v>9152</v>
      </c>
      <c r="W671" t="s">
        <v>9153</v>
      </c>
      <c r="X671" t="s">
        <v>9154</v>
      </c>
      <c r="Y671" t="s">
        <v>9155</v>
      </c>
      <c r="Z671" t="s">
        <v>74</v>
      </c>
      <c r="AA671" t="s">
        <v>74</v>
      </c>
      <c r="AB671" t="s">
        <v>74</v>
      </c>
      <c r="AC671" t="s">
        <v>74</v>
      </c>
      <c r="AD671" t="s">
        <v>74</v>
      </c>
      <c r="AE671" t="s">
        <v>74</v>
      </c>
      <c r="AF671" t="s">
        <v>74</v>
      </c>
      <c r="AG671">
        <v>35</v>
      </c>
      <c r="AH671">
        <v>143</v>
      </c>
      <c r="AI671">
        <v>148</v>
      </c>
      <c r="AJ671">
        <v>0</v>
      </c>
      <c r="AK671">
        <v>20</v>
      </c>
      <c r="AL671" t="s">
        <v>2223</v>
      </c>
      <c r="AM671" t="s">
        <v>2224</v>
      </c>
      <c r="AN671" t="s">
        <v>2225</v>
      </c>
      <c r="AO671" t="s">
        <v>9156</v>
      </c>
      <c r="AP671" t="s">
        <v>74</v>
      </c>
      <c r="AQ671" t="s">
        <v>74</v>
      </c>
      <c r="AR671" t="s">
        <v>9157</v>
      </c>
      <c r="AS671" t="s">
        <v>9158</v>
      </c>
      <c r="AT671" t="s">
        <v>9036</v>
      </c>
      <c r="AU671">
        <v>2001</v>
      </c>
      <c r="AV671">
        <v>99</v>
      </c>
      <c r="AW671">
        <v>1</v>
      </c>
      <c r="AX671" t="s">
        <v>74</v>
      </c>
      <c r="AY671" t="s">
        <v>74</v>
      </c>
      <c r="AZ671" t="s">
        <v>74</v>
      </c>
      <c r="BA671" t="s">
        <v>74</v>
      </c>
      <c r="BB671">
        <v>1</v>
      </c>
      <c r="BC671">
        <v>19</v>
      </c>
      <c r="BD671" t="s">
        <v>74</v>
      </c>
      <c r="BE671" t="s">
        <v>9159</v>
      </c>
      <c r="BF671" t="str">
        <f>HYPERLINK("http://dx.doi.org/10.1023/A:1018776422809","http://dx.doi.org/10.1023/A:1018776422809")</f>
        <v>http://dx.doi.org/10.1023/A:1018776422809</v>
      </c>
      <c r="BG671" t="s">
        <v>74</v>
      </c>
      <c r="BH671" t="s">
        <v>74</v>
      </c>
      <c r="BI671">
        <v>19</v>
      </c>
      <c r="BJ671" t="s">
        <v>538</v>
      </c>
      <c r="BK671" t="s">
        <v>88</v>
      </c>
      <c r="BL671" t="s">
        <v>538</v>
      </c>
      <c r="BM671" t="s">
        <v>9160</v>
      </c>
      <c r="BN671" t="s">
        <v>74</v>
      </c>
      <c r="BO671" t="s">
        <v>74</v>
      </c>
      <c r="BP671" t="s">
        <v>74</v>
      </c>
      <c r="BQ671" t="s">
        <v>74</v>
      </c>
      <c r="BR671" t="s">
        <v>91</v>
      </c>
      <c r="BS671" t="s">
        <v>9161</v>
      </c>
      <c r="BT671" t="str">
        <f>HYPERLINK("https%3A%2F%2Fwww.webofscience.com%2Fwos%2Fwoscc%2Ffull-record%2FWOS:000167734500001","View Full Record in Web of Science")</f>
        <v>View Full Record in Web of Science</v>
      </c>
    </row>
    <row r="672" spans="1:72" x14ac:dyDescent="0.15">
      <c r="A672" t="s">
        <v>72</v>
      </c>
      <c r="B672" t="s">
        <v>9162</v>
      </c>
      <c r="C672" t="s">
        <v>74</v>
      </c>
      <c r="D672" t="s">
        <v>74</v>
      </c>
      <c r="E672" t="s">
        <v>74</v>
      </c>
      <c r="F672" t="s">
        <v>9162</v>
      </c>
      <c r="G672" t="s">
        <v>74</v>
      </c>
      <c r="H672" t="s">
        <v>74</v>
      </c>
      <c r="I672" t="s">
        <v>9163</v>
      </c>
      <c r="J672" t="s">
        <v>9164</v>
      </c>
      <c r="K672" t="s">
        <v>74</v>
      </c>
      <c r="L672" t="s">
        <v>74</v>
      </c>
      <c r="M672" t="s">
        <v>77</v>
      </c>
      <c r="N672" t="s">
        <v>435</v>
      </c>
      <c r="O672" t="s">
        <v>9165</v>
      </c>
      <c r="P672" t="s">
        <v>9166</v>
      </c>
      <c r="Q672" t="s">
        <v>9167</v>
      </c>
      <c r="R672" t="s">
        <v>74</v>
      </c>
      <c r="S672" t="s">
        <v>74</v>
      </c>
      <c r="T672" t="s">
        <v>9168</v>
      </c>
      <c r="U672" t="s">
        <v>9169</v>
      </c>
      <c r="V672" t="s">
        <v>9170</v>
      </c>
      <c r="W672" t="s">
        <v>9171</v>
      </c>
      <c r="X672" t="s">
        <v>74</v>
      </c>
      <c r="Y672" t="s">
        <v>9172</v>
      </c>
      <c r="Z672" t="s">
        <v>74</v>
      </c>
      <c r="AA672" t="s">
        <v>9173</v>
      </c>
      <c r="AB672" t="s">
        <v>9174</v>
      </c>
      <c r="AC672" t="s">
        <v>74</v>
      </c>
      <c r="AD672" t="s">
        <v>74</v>
      </c>
      <c r="AE672" t="s">
        <v>74</v>
      </c>
      <c r="AF672" t="s">
        <v>74</v>
      </c>
      <c r="AG672">
        <v>41</v>
      </c>
      <c r="AH672">
        <v>34</v>
      </c>
      <c r="AI672">
        <v>44</v>
      </c>
      <c r="AJ672">
        <v>0</v>
      </c>
      <c r="AK672">
        <v>2</v>
      </c>
      <c r="AL672" t="s">
        <v>9175</v>
      </c>
      <c r="AM672" t="s">
        <v>9176</v>
      </c>
      <c r="AN672" t="s">
        <v>9177</v>
      </c>
      <c r="AO672" t="s">
        <v>9178</v>
      </c>
      <c r="AP672" t="s">
        <v>74</v>
      </c>
      <c r="AQ672" t="s">
        <v>74</v>
      </c>
      <c r="AR672" t="s">
        <v>9164</v>
      </c>
      <c r="AS672" t="s">
        <v>9179</v>
      </c>
      <c r="AT672" t="s">
        <v>9180</v>
      </c>
      <c r="AU672">
        <v>2001</v>
      </c>
      <c r="AV672">
        <v>53</v>
      </c>
      <c r="AW672">
        <v>2</v>
      </c>
      <c r="AX672" t="s">
        <v>74</v>
      </c>
      <c r="AY672" t="s">
        <v>74</v>
      </c>
      <c r="AZ672" t="s">
        <v>74</v>
      </c>
      <c r="BA672" t="s">
        <v>74</v>
      </c>
      <c r="BB672">
        <v>270</v>
      </c>
      <c r="BC672">
        <v>283</v>
      </c>
      <c r="BD672" t="s">
        <v>74</v>
      </c>
      <c r="BE672" t="s">
        <v>9181</v>
      </c>
      <c r="BF672" t="str">
        <f>HYPERLINK("http://dx.doi.org/10.1007/BF02812702","http://dx.doi.org/10.1007/BF02812702")</f>
        <v>http://dx.doi.org/10.1007/BF02812702</v>
      </c>
      <c r="BG672" t="s">
        <v>74</v>
      </c>
      <c r="BH672" t="s">
        <v>74</v>
      </c>
      <c r="BI672">
        <v>14</v>
      </c>
      <c r="BJ672" t="s">
        <v>357</v>
      </c>
      <c r="BK672" t="s">
        <v>453</v>
      </c>
      <c r="BL672" t="s">
        <v>357</v>
      </c>
      <c r="BM672" t="s">
        <v>9182</v>
      </c>
      <c r="BN672" t="s">
        <v>74</v>
      </c>
      <c r="BO672" t="s">
        <v>74</v>
      </c>
      <c r="BP672" t="s">
        <v>74</v>
      </c>
      <c r="BQ672" t="s">
        <v>74</v>
      </c>
      <c r="BR672" t="s">
        <v>91</v>
      </c>
      <c r="BS672" t="s">
        <v>9183</v>
      </c>
      <c r="BT672" t="str">
        <f>HYPERLINK("https%3A%2F%2Fwww.webofscience.com%2Fwos%2Fwoscc%2Ffull-record%2FWOS:000170220600004","View Full Record in Web of Science")</f>
        <v>View Full Record in Web of Science</v>
      </c>
    </row>
    <row r="673" spans="1:72" x14ac:dyDescent="0.15">
      <c r="A673" t="s">
        <v>72</v>
      </c>
      <c r="B673" t="s">
        <v>9184</v>
      </c>
      <c r="C673" t="s">
        <v>74</v>
      </c>
      <c r="D673" t="s">
        <v>74</v>
      </c>
      <c r="E673" t="s">
        <v>74</v>
      </c>
      <c r="F673" t="s">
        <v>9184</v>
      </c>
      <c r="G673" t="s">
        <v>74</v>
      </c>
      <c r="H673" t="s">
        <v>74</v>
      </c>
      <c r="I673" t="s">
        <v>9185</v>
      </c>
      <c r="J673" t="s">
        <v>9164</v>
      </c>
      <c r="K673" t="s">
        <v>74</v>
      </c>
      <c r="L673" t="s">
        <v>74</v>
      </c>
      <c r="M673" t="s">
        <v>77</v>
      </c>
      <c r="N673" t="s">
        <v>435</v>
      </c>
      <c r="O673" t="s">
        <v>9165</v>
      </c>
      <c r="P673" t="s">
        <v>9166</v>
      </c>
      <c r="Q673" t="s">
        <v>9167</v>
      </c>
      <c r="R673" t="s">
        <v>74</v>
      </c>
      <c r="S673" t="s">
        <v>74</v>
      </c>
      <c r="T673" t="s">
        <v>9186</v>
      </c>
      <c r="U673" t="s">
        <v>9169</v>
      </c>
      <c r="V673" t="s">
        <v>9187</v>
      </c>
      <c r="W673" t="s">
        <v>9188</v>
      </c>
      <c r="X673" t="s">
        <v>74</v>
      </c>
      <c r="Y673" t="s">
        <v>9189</v>
      </c>
      <c r="Z673" t="s">
        <v>74</v>
      </c>
      <c r="AA673" t="s">
        <v>74</v>
      </c>
      <c r="AB673" t="s">
        <v>74</v>
      </c>
      <c r="AC673" t="s">
        <v>74</v>
      </c>
      <c r="AD673" t="s">
        <v>74</v>
      </c>
      <c r="AE673" t="s">
        <v>74</v>
      </c>
      <c r="AF673" t="s">
        <v>74</v>
      </c>
      <c r="AG673">
        <v>48</v>
      </c>
      <c r="AH673">
        <v>41</v>
      </c>
      <c r="AI673">
        <v>42</v>
      </c>
      <c r="AJ673">
        <v>0</v>
      </c>
      <c r="AK673">
        <v>8</v>
      </c>
      <c r="AL673" t="s">
        <v>9175</v>
      </c>
      <c r="AM673" t="s">
        <v>9176</v>
      </c>
      <c r="AN673" t="s">
        <v>9177</v>
      </c>
      <c r="AO673" t="s">
        <v>9178</v>
      </c>
      <c r="AP673" t="s">
        <v>74</v>
      </c>
      <c r="AQ673" t="s">
        <v>74</v>
      </c>
      <c r="AR673" t="s">
        <v>9164</v>
      </c>
      <c r="AS673" t="s">
        <v>9179</v>
      </c>
      <c r="AT673" t="s">
        <v>9180</v>
      </c>
      <c r="AU673">
        <v>2001</v>
      </c>
      <c r="AV673">
        <v>53</v>
      </c>
      <c r="AW673">
        <v>2</v>
      </c>
      <c r="AX673" t="s">
        <v>74</v>
      </c>
      <c r="AY673" t="s">
        <v>74</v>
      </c>
      <c r="AZ673" t="s">
        <v>74</v>
      </c>
      <c r="BA673" t="s">
        <v>74</v>
      </c>
      <c r="BB673">
        <v>284</v>
      </c>
      <c r="BC673">
        <v>303</v>
      </c>
      <c r="BD673" t="s">
        <v>74</v>
      </c>
      <c r="BE673" t="s">
        <v>9190</v>
      </c>
      <c r="BF673" t="str">
        <f>HYPERLINK("http://dx.doi.org/10.1007/BF02812703","http://dx.doi.org/10.1007/BF02812703")</f>
        <v>http://dx.doi.org/10.1007/BF02812703</v>
      </c>
      <c r="BG673" t="s">
        <v>74</v>
      </c>
      <c r="BH673" t="s">
        <v>74</v>
      </c>
      <c r="BI673">
        <v>20</v>
      </c>
      <c r="BJ673" t="s">
        <v>357</v>
      </c>
      <c r="BK673" t="s">
        <v>453</v>
      </c>
      <c r="BL673" t="s">
        <v>357</v>
      </c>
      <c r="BM673" t="s">
        <v>9182</v>
      </c>
      <c r="BN673" t="s">
        <v>74</v>
      </c>
      <c r="BO673" t="s">
        <v>74</v>
      </c>
      <c r="BP673" t="s">
        <v>74</v>
      </c>
      <c r="BQ673" t="s">
        <v>74</v>
      </c>
      <c r="BR673" t="s">
        <v>91</v>
      </c>
      <c r="BS673" t="s">
        <v>9191</v>
      </c>
      <c r="BT673" t="str">
        <f>HYPERLINK("https%3A%2F%2Fwww.webofscience.com%2Fwos%2Fwoscc%2Ffull-record%2FWOS:000170220600005","View Full Record in Web of Science")</f>
        <v>View Full Record in Web of Science</v>
      </c>
    </row>
    <row r="674" spans="1:72" x14ac:dyDescent="0.15">
      <c r="A674" t="s">
        <v>72</v>
      </c>
      <c r="B674" t="s">
        <v>9192</v>
      </c>
      <c r="C674" t="s">
        <v>74</v>
      </c>
      <c r="D674" t="s">
        <v>74</v>
      </c>
      <c r="E674" t="s">
        <v>74</v>
      </c>
      <c r="F674" t="s">
        <v>9192</v>
      </c>
      <c r="G674" t="s">
        <v>74</v>
      </c>
      <c r="H674" t="s">
        <v>74</v>
      </c>
      <c r="I674" t="s">
        <v>9193</v>
      </c>
      <c r="J674" t="s">
        <v>5777</v>
      </c>
      <c r="K674" t="s">
        <v>74</v>
      </c>
      <c r="L674" t="s">
        <v>74</v>
      </c>
      <c r="M674" t="s">
        <v>77</v>
      </c>
      <c r="N674" t="s">
        <v>120</v>
      </c>
      <c r="O674" t="s">
        <v>74</v>
      </c>
      <c r="P674" t="s">
        <v>74</v>
      </c>
      <c r="Q674" t="s">
        <v>74</v>
      </c>
      <c r="R674" t="s">
        <v>74</v>
      </c>
      <c r="S674" t="s">
        <v>74</v>
      </c>
      <c r="T674" t="s">
        <v>9194</v>
      </c>
      <c r="U674" t="s">
        <v>9195</v>
      </c>
      <c r="V674" t="s">
        <v>9196</v>
      </c>
      <c r="W674" t="s">
        <v>9197</v>
      </c>
      <c r="X674" t="s">
        <v>9198</v>
      </c>
      <c r="Y674" t="s">
        <v>9199</v>
      </c>
      <c r="Z674" t="s">
        <v>9200</v>
      </c>
      <c r="AA674" t="s">
        <v>9201</v>
      </c>
      <c r="AB674" t="s">
        <v>9202</v>
      </c>
      <c r="AC674" t="s">
        <v>74</v>
      </c>
      <c r="AD674" t="s">
        <v>74</v>
      </c>
      <c r="AE674" t="s">
        <v>74</v>
      </c>
      <c r="AF674" t="s">
        <v>74</v>
      </c>
      <c r="AG674">
        <v>42</v>
      </c>
      <c r="AH674">
        <v>74</v>
      </c>
      <c r="AI674">
        <v>80</v>
      </c>
      <c r="AJ674">
        <v>0</v>
      </c>
      <c r="AK674">
        <v>15</v>
      </c>
      <c r="AL674" t="s">
        <v>248</v>
      </c>
      <c r="AM674" t="s">
        <v>204</v>
      </c>
      <c r="AN674" t="s">
        <v>1622</v>
      </c>
      <c r="AO674" t="s">
        <v>5786</v>
      </c>
      <c r="AP674" t="s">
        <v>9203</v>
      </c>
      <c r="AQ674" t="s">
        <v>74</v>
      </c>
      <c r="AR674" t="s">
        <v>5787</v>
      </c>
      <c r="AS674" t="s">
        <v>5788</v>
      </c>
      <c r="AT674" t="s">
        <v>9036</v>
      </c>
      <c r="AU674">
        <v>2001</v>
      </c>
      <c r="AV674">
        <v>62</v>
      </c>
      <c r="AW674">
        <v>8</v>
      </c>
      <c r="AX674" t="s">
        <v>74</v>
      </c>
      <c r="AY674" t="s">
        <v>74</v>
      </c>
      <c r="AZ674" t="s">
        <v>74</v>
      </c>
      <c r="BA674" t="s">
        <v>74</v>
      </c>
      <c r="BB674">
        <v>493</v>
      </c>
      <c r="BC674">
        <v>518</v>
      </c>
      <c r="BD674" t="s">
        <v>74</v>
      </c>
      <c r="BE674" t="s">
        <v>9204</v>
      </c>
      <c r="BF674" t="str">
        <f>HYPERLINK("http://dx.doi.org/10.1007/s004450000105","http://dx.doi.org/10.1007/s004450000105")</f>
        <v>http://dx.doi.org/10.1007/s004450000105</v>
      </c>
      <c r="BG674" t="s">
        <v>74</v>
      </c>
      <c r="BH674" t="s">
        <v>74</v>
      </c>
      <c r="BI674">
        <v>26</v>
      </c>
      <c r="BJ674" t="s">
        <v>300</v>
      </c>
      <c r="BK674" t="s">
        <v>88</v>
      </c>
      <c r="BL674" t="s">
        <v>113</v>
      </c>
      <c r="BM674" t="s">
        <v>9205</v>
      </c>
      <c r="BN674" t="s">
        <v>74</v>
      </c>
      <c r="BO674" t="s">
        <v>74</v>
      </c>
      <c r="BP674" t="s">
        <v>74</v>
      </c>
      <c r="BQ674" t="s">
        <v>74</v>
      </c>
      <c r="BR674" t="s">
        <v>91</v>
      </c>
      <c r="BS674" t="s">
        <v>9206</v>
      </c>
      <c r="BT674" t="str">
        <f>HYPERLINK("https%3A%2F%2Fwww.webofscience.com%2Fwos%2Fwoscc%2Ffull-record%2FWOS:000168519400001","View Full Record in Web of Science")</f>
        <v>View Full Record in Web of Science</v>
      </c>
    </row>
    <row r="675" spans="1:72" x14ac:dyDescent="0.15">
      <c r="A675" t="s">
        <v>72</v>
      </c>
      <c r="B675" t="s">
        <v>9207</v>
      </c>
      <c r="C675" t="s">
        <v>74</v>
      </c>
      <c r="D675" t="s">
        <v>74</v>
      </c>
      <c r="E675" t="s">
        <v>74</v>
      </c>
      <c r="F675" t="s">
        <v>9207</v>
      </c>
      <c r="G675" t="s">
        <v>74</v>
      </c>
      <c r="H675" t="s">
        <v>74</v>
      </c>
      <c r="I675" t="s">
        <v>9208</v>
      </c>
      <c r="J675" t="s">
        <v>9209</v>
      </c>
      <c r="K675" t="s">
        <v>74</v>
      </c>
      <c r="L675" t="s">
        <v>74</v>
      </c>
      <c r="M675" t="s">
        <v>77</v>
      </c>
      <c r="N675" t="s">
        <v>120</v>
      </c>
      <c r="O675" t="s">
        <v>74</v>
      </c>
      <c r="P675" t="s">
        <v>74</v>
      </c>
      <c r="Q675" t="s">
        <v>74</v>
      </c>
      <c r="R675" t="s">
        <v>74</v>
      </c>
      <c r="S675" t="s">
        <v>74</v>
      </c>
      <c r="T675" t="s">
        <v>9210</v>
      </c>
      <c r="U675" t="s">
        <v>9211</v>
      </c>
      <c r="V675" t="s">
        <v>9212</v>
      </c>
      <c r="W675" t="s">
        <v>9213</v>
      </c>
      <c r="X675" t="s">
        <v>9214</v>
      </c>
      <c r="Y675" t="s">
        <v>74</v>
      </c>
      <c r="Z675" t="s">
        <v>74</v>
      </c>
      <c r="AA675" t="s">
        <v>9215</v>
      </c>
      <c r="AB675" t="s">
        <v>9216</v>
      </c>
      <c r="AC675" t="s">
        <v>74</v>
      </c>
      <c r="AD675" t="s">
        <v>74</v>
      </c>
      <c r="AE675" t="s">
        <v>74</v>
      </c>
      <c r="AF675" t="s">
        <v>74</v>
      </c>
      <c r="AG675">
        <v>26</v>
      </c>
      <c r="AH675">
        <v>12</v>
      </c>
      <c r="AI675">
        <v>13</v>
      </c>
      <c r="AJ675">
        <v>0</v>
      </c>
      <c r="AK675">
        <v>1</v>
      </c>
      <c r="AL675" t="s">
        <v>1790</v>
      </c>
      <c r="AM675" t="s">
        <v>80</v>
      </c>
      <c r="AN675" t="s">
        <v>1791</v>
      </c>
      <c r="AO675" t="s">
        <v>9217</v>
      </c>
      <c r="AP675" t="s">
        <v>74</v>
      </c>
      <c r="AQ675" t="s">
        <v>74</v>
      </c>
      <c r="AR675" t="s">
        <v>9218</v>
      </c>
      <c r="AS675" t="s">
        <v>9219</v>
      </c>
      <c r="AT675" t="s">
        <v>9180</v>
      </c>
      <c r="AU675">
        <v>2001</v>
      </c>
      <c r="AV675">
        <v>23</v>
      </c>
      <c r="AW675" t="s">
        <v>3507</v>
      </c>
      <c r="AX675" t="s">
        <v>74</v>
      </c>
      <c r="AY675" t="s">
        <v>74</v>
      </c>
      <c r="AZ675" t="s">
        <v>7049</v>
      </c>
      <c r="BA675" t="s">
        <v>74</v>
      </c>
      <c r="BB675">
        <v>227</v>
      </c>
      <c r="BC675">
        <v>236</v>
      </c>
      <c r="BD675" t="s">
        <v>74</v>
      </c>
      <c r="BE675" t="s">
        <v>9220</v>
      </c>
      <c r="BF675" t="str">
        <f>HYPERLINK("http://dx.doi.org/10.1016/S0958-9465(00)00064-0","http://dx.doi.org/10.1016/S0958-9465(00)00064-0")</f>
        <v>http://dx.doi.org/10.1016/S0958-9465(00)00064-0</v>
      </c>
      <c r="BG675" t="s">
        <v>74</v>
      </c>
      <c r="BH675" t="s">
        <v>74</v>
      </c>
      <c r="BI675">
        <v>10</v>
      </c>
      <c r="BJ675" t="s">
        <v>9221</v>
      </c>
      <c r="BK675" t="s">
        <v>88</v>
      </c>
      <c r="BL675" t="s">
        <v>9222</v>
      </c>
      <c r="BM675" t="s">
        <v>9223</v>
      </c>
      <c r="BN675" t="s">
        <v>74</v>
      </c>
      <c r="BO675" t="s">
        <v>74</v>
      </c>
      <c r="BP675" t="s">
        <v>74</v>
      </c>
      <c r="BQ675" t="s">
        <v>74</v>
      </c>
      <c r="BR675" t="s">
        <v>91</v>
      </c>
      <c r="BS675" t="s">
        <v>9224</v>
      </c>
      <c r="BT675" t="str">
        <f>HYPERLINK("https%3A%2F%2Fwww.webofscience.com%2Fwos%2Fwoscc%2Ffull-record%2FWOS:000168176800012","View Full Record in Web of Science")</f>
        <v>View Full Record in Web of Science</v>
      </c>
    </row>
    <row r="676" spans="1:72" x14ac:dyDescent="0.15">
      <c r="A676" t="s">
        <v>72</v>
      </c>
      <c r="B676" t="s">
        <v>9225</v>
      </c>
      <c r="C676" t="s">
        <v>74</v>
      </c>
      <c r="D676" t="s">
        <v>74</v>
      </c>
      <c r="E676" t="s">
        <v>74</v>
      </c>
      <c r="F676" t="s">
        <v>9225</v>
      </c>
      <c r="G676" t="s">
        <v>74</v>
      </c>
      <c r="H676" t="s">
        <v>74</v>
      </c>
      <c r="I676" t="s">
        <v>9226</v>
      </c>
      <c r="J676" t="s">
        <v>9227</v>
      </c>
      <c r="K676" t="s">
        <v>74</v>
      </c>
      <c r="L676" t="s">
        <v>74</v>
      </c>
      <c r="M676" t="s">
        <v>77</v>
      </c>
      <c r="N676" t="s">
        <v>120</v>
      </c>
      <c r="O676" t="s">
        <v>74</v>
      </c>
      <c r="P676" t="s">
        <v>74</v>
      </c>
      <c r="Q676" t="s">
        <v>74</v>
      </c>
      <c r="R676" t="s">
        <v>74</v>
      </c>
      <c r="S676" t="s">
        <v>74</v>
      </c>
      <c r="T676" t="s">
        <v>74</v>
      </c>
      <c r="U676" t="s">
        <v>9228</v>
      </c>
      <c r="V676" t="s">
        <v>9229</v>
      </c>
      <c r="W676" t="s">
        <v>9230</v>
      </c>
      <c r="X676" t="s">
        <v>9231</v>
      </c>
      <c r="Y676" t="s">
        <v>9232</v>
      </c>
      <c r="Z676" t="s">
        <v>74</v>
      </c>
      <c r="AA676" t="s">
        <v>9233</v>
      </c>
      <c r="AB676" t="s">
        <v>9234</v>
      </c>
      <c r="AC676" t="s">
        <v>74</v>
      </c>
      <c r="AD676" t="s">
        <v>74</v>
      </c>
      <c r="AE676" t="s">
        <v>74</v>
      </c>
      <c r="AF676" t="s">
        <v>74</v>
      </c>
      <c r="AG676">
        <v>58</v>
      </c>
      <c r="AH676">
        <v>72</v>
      </c>
      <c r="AI676">
        <v>83</v>
      </c>
      <c r="AJ676">
        <v>2</v>
      </c>
      <c r="AK676">
        <v>17</v>
      </c>
      <c r="AL676" t="s">
        <v>248</v>
      </c>
      <c r="AM676" t="s">
        <v>204</v>
      </c>
      <c r="AN676" t="s">
        <v>1622</v>
      </c>
      <c r="AO676" t="s">
        <v>9235</v>
      </c>
      <c r="AP676" t="s">
        <v>9236</v>
      </c>
      <c r="AQ676" t="s">
        <v>74</v>
      </c>
      <c r="AR676" t="s">
        <v>9237</v>
      </c>
      <c r="AS676" t="s">
        <v>9238</v>
      </c>
      <c r="AT676" t="s">
        <v>9036</v>
      </c>
      <c r="AU676">
        <v>2001</v>
      </c>
      <c r="AV676">
        <v>17</v>
      </c>
      <c r="AW676">
        <v>7</v>
      </c>
      <c r="AX676" t="s">
        <v>74</v>
      </c>
      <c r="AY676" t="s">
        <v>74</v>
      </c>
      <c r="AZ676" t="s">
        <v>74</v>
      </c>
      <c r="BA676" t="s">
        <v>74</v>
      </c>
      <c r="BB676">
        <v>503</v>
      </c>
      <c r="BC676">
        <v>513</v>
      </c>
      <c r="BD676" t="s">
        <v>74</v>
      </c>
      <c r="BE676" t="s">
        <v>9239</v>
      </c>
      <c r="BF676" t="str">
        <f>HYPERLINK("http://dx.doi.org/10.1007/PL00007928","http://dx.doi.org/10.1007/PL00007928")</f>
        <v>http://dx.doi.org/10.1007/PL00007928</v>
      </c>
      <c r="BG676" t="s">
        <v>74</v>
      </c>
      <c r="BH676" t="s">
        <v>74</v>
      </c>
      <c r="BI676">
        <v>11</v>
      </c>
      <c r="BJ676" t="s">
        <v>538</v>
      </c>
      <c r="BK676" t="s">
        <v>88</v>
      </c>
      <c r="BL676" t="s">
        <v>538</v>
      </c>
      <c r="BM676" t="s">
        <v>9240</v>
      </c>
      <c r="BN676" t="s">
        <v>74</v>
      </c>
      <c r="BO676" t="s">
        <v>74</v>
      </c>
      <c r="BP676" t="s">
        <v>74</v>
      </c>
      <c r="BQ676" t="s">
        <v>74</v>
      </c>
      <c r="BR676" t="s">
        <v>91</v>
      </c>
      <c r="BS676" t="s">
        <v>9241</v>
      </c>
      <c r="BT676" t="str">
        <f>HYPERLINK("https%3A%2F%2Fwww.webofscience.com%2Fwos%2Fwoscc%2Ffull-record%2FWOS:000168383800002","View Full Record in Web of Science")</f>
        <v>View Full Record in Web of Science</v>
      </c>
    </row>
    <row r="677" spans="1:72" x14ac:dyDescent="0.15">
      <c r="A677" t="s">
        <v>72</v>
      </c>
      <c r="B677" t="s">
        <v>9242</v>
      </c>
      <c r="C677" t="s">
        <v>74</v>
      </c>
      <c r="D677" t="s">
        <v>74</v>
      </c>
      <c r="E677" t="s">
        <v>74</v>
      </c>
      <c r="F677" t="s">
        <v>9242</v>
      </c>
      <c r="G677" t="s">
        <v>74</v>
      </c>
      <c r="H677" t="s">
        <v>74</v>
      </c>
      <c r="I677" t="s">
        <v>9243</v>
      </c>
      <c r="J677" t="s">
        <v>9244</v>
      </c>
      <c r="K677" t="s">
        <v>74</v>
      </c>
      <c r="L677" t="s">
        <v>74</v>
      </c>
      <c r="M677" t="s">
        <v>9245</v>
      </c>
      <c r="N677" t="s">
        <v>4821</v>
      </c>
      <c r="O677" t="s">
        <v>74</v>
      </c>
      <c r="P677" t="s">
        <v>74</v>
      </c>
      <c r="Q677" t="s">
        <v>74</v>
      </c>
      <c r="R677" t="s">
        <v>74</v>
      </c>
      <c r="S677" t="s">
        <v>74</v>
      </c>
      <c r="T677" t="s">
        <v>9246</v>
      </c>
      <c r="U677" t="s">
        <v>74</v>
      </c>
      <c r="V677" t="s">
        <v>9247</v>
      </c>
      <c r="W677" t="s">
        <v>9248</v>
      </c>
      <c r="X677" t="s">
        <v>9249</v>
      </c>
      <c r="Y677" t="s">
        <v>9250</v>
      </c>
      <c r="Z677" t="s">
        <v>74</v>
      </c>
      <c r="AA677" t="s">
        <v>74</v>
      </c>
      <c r="AB677" t="s">
        <v>74</v>
      </c>
      <c r="AC677" t="s">
        <v>74</v>
      </c>
      <c r="AD677" t="s">
        <v>74</v>
      </c>
      <c r="AE677" t="s">
        <v>74</v>
      </c>
      <c r="AF677" t="s">
        <v>74</v>
      </c>
      <c r="AG677">
        <v>0</v>
      </c>
      <c r="AH677">
        <v>0</v>
      </c>
      <c r="AI677">
        <v>0</v>
      </c>
      <c r="AJ677">
        <v>0</v>
      </c>
      <c r="AK677">
        <v>5</v>
      </c>
      <c r="AL677" t="s">
        <v>9251</v>
      </c>
      <c r="AM677" t="s">
        <v>9252</v>
      </c>
      <c r="AN677" t="s">
        <v>9253</v>
      </c>
      <c r="AO677" t="s">
        <v>9254</v>
      </c>
      <c r="AP677" t="s">
        <v>74</v>
      </c>
      <c r="AQ677" t="s">
        <v>74</v>
      </c>
      <c r="AR677" t="s">
        <v>9255</v>
      </c>
      <c r="AS677" t="s">
        <v>9256</v>
      </c>
      <c r="AT677" t="s">
        <v>9180</v>
      </c>
      <c r="AU677">
        <v>2001</v>
      </c>
      <c r="AV677">
        <v>22</v>
      </c>
      <c r="AW677">
        <v>2</v>
      </c>
      <c r="AX677" t="s">
        <v>74</v>
      </c>
      <c r="AY677" t="s">
        <v>74</v>
      </c>
      <c r="AZ677" t="s">
        <v>74</v>
      </c>
      <c r="BA677" t="s">
        <v>74</v>
      </c>
      <c r="BB677">
        <v>159</v>
      </c>
      <c r="BC677">
        <v>172</v>
      </c>
      <c r="BD677" t="s">
        <v>74</v>
      </c>
      <c r="BE677" t="s">
        <v>9257</v>
      </c>
      <c r="BF677" t="str">
        <f>HYPERLINK("http://dx.doi.org/10.1016/S0181-1568(01)01057-1","http://dx.doi.org/10.1016/S0181-1568(01)01057-1")</f>
        <v>http://dx.doi.org/10.1016/S0181-1568(01)01057-1</v>
      </c>
      <c r="BG677" t="s">
        <v>74</v>
      </c>
      <c r="BH677" t="s">
        <v>74</v>
      </c>
      <c r="BI677">
        <v>14</v>
      </c>
      <c r="BJ677" t="s">
        <v>1035</v>
      </c>
      <c r="BK677" t="s">
        <v>88</v>
      </c>
      <c r="BL677" t="s">
        <v>1035</v>
      </c>
      <c r="BM677" t="s">
        <v>9258</v>
      </c>
      <c r="BN677" t="s">
        <v>74</v>
      </c>
      <c r="BO677" t="s">
        <v>74</v>
      </c>
      <c r="BP677" t="s">
        <v>74</v>
      </c>
      <c r="BQ677" t="s">
        <v>74</v>
      </c>
      <c r="BR677" t="s">
        <v>91</v>
      </c>
      <c r="BS677" t="s">
        <v>9259</v>
      </c>
      <c r="BT677" t="str">
        <f>HYPERLINK("https%3A%2F%2Fwww.webofscience.com%2Fwos%2Fwoscc%2Ffull-record%2FWOS:000169447300001","View Full Record in Web of Science")</f>
        <v>View Full Record in Web of Science</v>
      </c>
    </row>
    <row r="678" spans="1:72" x14ac:dyDescent="0.15">
      <c r="A678" t="s">
        <v>72</v>
      </c>
      <c r="B678" t="s">
        <v>9260</v>
      </c>
      <c r="C678" t="s">
        <v>74</v>
      </c>
      <c r="D678" t="s">
        <v>74</v>
      </c>
      <c r="E678" t="s">
        <v>74</v>
      </c>
      <c r="F678" t="s">
        <v>9260</v>
      </c>
      <c r="G678" t="s">
        <v>74</v>
      </c>
      <c r="H678" t="s">
        <v>74</v>
      </c>
      <c r="I678" t="s">
        <v>9261</v>
      </c>
      <c r="J678" t="s">
        <v>2187</v>
      </c>
      <c r="K678" t="s">
        <v>74</v>
      </c>
      <c r="L678" t="s">
        <v>74</v>
      </c>
      <c r="M678" t="s">
        <v>77</v>
      </c>
      <c r="N678" t="s">
        <v>96</v>
      </c>
      <c r="O678" t="s">
        <v>74</v>
      </c>
      <c r="P678" t="s">
        <v>74</v>
      </c>
      <c r="Q678" t="s">
        <v>74</v>
      </c>
      <c r="R678" t="s">
        <v>74</v>
      </c>
      <c r="S678" t="s">
        <v>74</v>
      </c>
      <c r="T678" t="s">
        <v>9262</v>
      </c>
      <c r="U678" t="s">
        <v>9263</v>
      </c>
      <c r="V678" t="s">
        <v>9264</v>
      </c>
      <c r="W678" t="s">
        <v>9265</v>
      </c>
      <c r="X678" t="s">
        <v>9266</v>
      </c>
      <c r="Y678" t="s">
        <v>9267</v>
      </c>
      <c r="Z678" t="s">
        <v>74</v>
      </c>
      <c r="AA678" t="s">
        <v>9268</v>
      </c>
      <c r="AB678" t="s">
        <v>9269</v>
      </c>
      <c r="AC678" t="s">
        <v>74</v>
      </c>
      <c r="AD678" t="s">
        <v>74</v>
      </c>
      <c r="AE678" t="s">
        <v>74</v>
      </c>
      <c r="AF678" t="s">
        <v>74</v>
      </c>
      <c r="AG678">
        <v>155</v>
      </c>
      <c r="AH678">
        <v>452</v>
      </c>
      <c r="AI678">
        <v>512</v>
      </c>
      <c r="AJ678">
        <v>3</v>
      </c>
      <c r="AK678">
        <v>93</v>
      </c>
      <c r="AL678" t="s">
        <v>488</v>
      </c>
      <c r="AM678" t="s">
        <v>350</v>
      </c>
      <c r="AN678" t="s">
        <v>489</v>
      </c>
      <c r="AO678" t="s">
        <v>2192</v>
      </c>
      <c r="AP678" t="s">
        <v>74</v>
      </c>
      <c r="AQ678" t="s">
        <v>74</v>
      </c>
      <c r="AR678" t="s">
        <v>2193</v>
      </c>
      <c r="AS678" t="s">
        <v>2194</v>
      </c>
      <c r="AT678" t="s">
        <v>9036</v>
      </c>
      <c r="AU678">
        <v>2001</v>
      </c>
      <c r="AV678">
        <v>53</v>
      </c>
      <c r="AW678" t="s">
        <v>451</v>
      </c>
      <c r="AX678" t="s">
        <v>74</v>
      </c>
      <c r="AY678" t="s">
        <v>74</v>
      </c>
      <c r="AZ678" t="s">
        <v>74</v>
      </c>
      <c r="BA678" t="s">
        <v>74</v>
      </c>
      <c r="BB678">
        <v>237</v>
      </c>
      <c r="BC678">
        <v>277</v>
      </c>
      <c r="BD678" t="s">
        <v>74</v>
      </c>
      <c r="BE678" t="s">
        <v>9270</v>
      </c>
      <c r="BF678" t="str">
        <f>HYPERLINK("http://dx.doi.org/10.1016/S0012-8252(00)00021-0","http://dx.doi.org/10.1016/S0012-8252(00)00021-0")</f>
        <v>http://dx.doi.org/10.1016/S0012-8252(00)00021-0</v>
      </c>
      <c r="BG678" t="s">
        <v>74</v>
      </c>
      <c r="BH678" t="s">
        <v>74</v>
      </c>
      <c r="BI678">
        <v>41</v>
      </c>
      <c r="BJ678" t="s">
        <v>300</v>
      </c>
      <c r="BK678" t="s">
        <v>88</v>
      </c>
      <c r="BL678" t="s">
        <v>113</v>
      </c>
      <c r="BM678" t="s">
        <v>9271</v>
      </c>
      <c r="BN678" t="s">
        <v>74</v>
      </c>
      <c r="BO678" t="s">
        <v>74</v>
      </c>
      <c r="BP678" t="s">
        <v>74</v>
      </c>
      <c r="BQ678" t="s">
        <v>74</v>
      </c>
      <c r="BR678" t="s">
        <v>91</v>
      </c>
      <c r="BS678" t="s">
        <v>9272</v>
      </c>
      <c r="BT678" t="str">
        <f>HYPERLINK("https%3A%2F%2Fwww.webofscience.com%2Fwos%2Fwoscc%2Ffull-record%2FWOS:000168949800003","View Full Record in Web of Science")</f>
        <v>View Full Record in Web of Science</v>
      </c>
    </row>
    <row r="679" spans="1:72" x14ac:dyDescent="0.15">
      <c r="A679" t="s">
        <v>72</v>
      </c>
      <c r="B679" t="s">
        <v>9273</v>
      </c>
      <c r="C679" t="s">
        <v>74</v>
      </c>
      <c r="D679" t="s">
        <v>74</v>
      </c>
      <c r="E679" t="s">
        <v>74</v>
      </c>
      <c r="F679" t="s">
        <v>9273</v>
      </c>
      <c r="G679" t="s">
        <v>74</v>
      </c>
      <c r="H679" t="s">
        <v>74</v>
      </c>
      <c r="I679" t="s">
        <v>9274</v>
      </c>
      <c r="J679" t="s">
        <v>9275</v>
      </c>
      <c r="K679" t="s">
        <v>74</v>
      </c>
      <c r="L679" t="s">
        <v>74</v>
      </c>
      <c r="M679" t="s">
        <v>77</v>
      </c>
      <c r="N679" t="s">
        <v>120</v>
      </c>
      <c r="O679" t="s">
        <v>74</v>
      </c>
      <c r="P679" t="s">
        <v>74</v>
      </c>
      <c r="Q679" t="s">
        <v>74</v>
      </c>
      <c r="R679" t="s">
        <v>74</v>
      </c>
      <c r="S679" t="s">
        <v>74</v>
      </c>
      <c r="T679" t="s">
        <v>9276</v>
      </c>
      <c r="U679" t="s">
        <v>9277</v>
      </c>
      <c r="V679" t="s">
        <v>9278</v>
      </c>
      <c r="W679" t="s">
        <v>3885</v>
      </c>
      <c r="X679" t="s">
        <v>3886</v>
      </c>
      <c r="Y679" t="s">
        <v>9279</v>
      </c>
      <c r="Z679" t="s">
        <v>74</v>
      </c>
      <c r="AA679" t="s">
        <v>3888</v>
      </c>
      <c r="AB679" t="s">
        <v>3889</v>
      </c>
      <c r="AC679" t="s">
        <v>74</v>
      </c>
      <c r="AD679" t="s">
        <v>74</v>
      </c>
      <c r="AE679" t="s">
        <v>74</v>
      </c>
      <c r="AF679" t="s">
        <v>74</v>
      </c>
      <c r="AG679">
        <v>48</v>
      </c>
      <c r="AH679">
        <v>43</v>
      </c>
      <c r="AI679">
        <v>47</v>
      </c>
      <c r="AJ679">
        <v>0</v>
      </c>
      <c r="AK679">
        <v>9</v>
      </c>
      <c r="AL679" t="s">
        <v>79</v>
      </c>
      <c r="AM679" t="s">
        <v>80</v>
      </c>
      <c r="AN679" t="s">
        <v>81</v>
      </c>
      <c r="AO679" t="s">
        <v>9280</v>
      </c>
      <c r="AP679" t="s">
        <v>74</v>
      </c>
      <c r="AQ679" t="s">
        <v>74</v>
      </c>
      <c r="AR679" t="s">
        <v>9281</v>
      </c>
      <c r="AS679" t="s">
        <v>9282</v>
      </c>
      <c r="AT679" t="s">
        <v>9036</v>
      </c>
      <c r="AU679">
        <v>2001</v>
      </c>
      <c r="AV679">
        <v>45</v>
      </c>
      <c r="AW679">
        <v>2</v>
      </c>
      <c r="AX679" t="s">
        <v>74</v>
      </c>
      <c r="AY679" t="s">
        <v>74</v>
      </c>
      <c r="AZ679" t="s">
        <v>74</v>
      </c>
      <c r="BA679" t="s">
        <v>74</v>
      </c>
      <c r="BB679">
        <v>143</v>
      </c>
      <c r="BC679">
        <v>154</v>
      </c>
      <c r="BD679" t="s">
        <v>74</v>
      </c>
      <c r="BE679" t="s">
        <v>9283</v>
      </c>
      <c r="BF679" t="str">
        <f>HYPERLINK("http://dx.doi.org/10.1016/S0098-8472(00)00089-7","http://dx.doi.org/10.1016/S0098-8472(00)00089-7")</f>
        <v>http://dx.doi.org/10.1016/S0098-8472(00)00089-7</v>
      </c>
      <c r="BG679" t="s">
        <v>74</v>
      </c>
      <c r="BH679" t="s">
        <v>74</v>
      </c>
      <c r="BI679">
        <v>12</v>
      </c>
      <c r="BJ679" t="s">
        <v>9284</v>
      </c>
      <c r="BK679" t="s">
        <v>88</v>
      </c>
      <c r="BL679" t="s">
        <v>9285</v>
      </c>
      <c r="BM679" t="s">
        <v>9286</v>
      </c>
      <c r="BN679">
        <v>11275222</v>
      </c>
      <c r="BO679" t="s">
        <v>74</v>
      </c>
      <c r="BP679" t="s">
        <v>74</v>
      </c>
      <c r="BQ679" t="s">
        <v>74</v>
      </c>
      <c r="BR679" t="s">
        <v>91</v>
      </c>
      <c r="BS679" t="s">
        <v>9287</v>
      </c>
      <c r="BT679" t="str">
        <f>HYPERLINK("https%3A%2F%2Fwww.webofscience.com%2Fwos%2Fwoscc%2Ffull-record%2FWOS:000167597700004","View Full Record in Web of Science")</f>
        <v>View Full Record in Web of Science</v>
      </c>
    </row>
    <row r="680" spans="1:72" x14ac:dyDescent="0.15">
      <c r="A680" t="s">
        <v>72</v>
      </c>
      <c r="B680" t="s">
        <v>9288</v>
      </c>
      <c r="C680" t="s">
        <v>74</v>
      </c>
      <c r="D680" t="s">
        <v>74</v>
      </c>
      <c r="E680" t="s">
        <v>74</v>
      </c>
      <c r="F680" t="s">
        <v>9288</v>
      </c>
      <c r="G680" t="s">
        <v>74</v>
      </c>
      <c r="H680" t="s">
        <v>74</v>
      </c>
      <c r="I680" t="s">
        <v>9289</v>
      </c>
      <c r="J680" t="s">
        <v>2283</v>
      </c>
      <c r="K680" t="s">
        <v>74</v>
      </c>
      <c r="L680" t="s">
        <v>74</v>
      </c>
      <c r="M680" t="s">
        <v>77</v>
      </c>
      <c r="N680" t="s">
        <v>120</v>
      </c>
      <c r="O680" t="s">
        <v>74</v>
      </c>
      <c r="P680" t="s">
        <v>74</v>
      </c>
      <c r="Q680" t="s">
        <v>74</v>
      </c>
      <c r="R680" t="s">
        <v>74</v>
      </c>
      <c r="S680" t="s">
        <v>74</v>
      </c>
      <c r="T680" t="s">
        <v>9290</v>
      </c>
      <c r="U680" t="s">
        <v>9291</v>
      </c>
      <c r="V680" t="s">
        <v>9292</v>
      </c>
      <c r="W680" t="s">
        <v>9293</v>
      </c>
      <c r="X680" t="s">
        <v>1679</v>
      </c>
      <c r="Y680" t="s">
        <v>9294</v>
      </c>
      <c r="Z680" t="s">
        <v>74</v>
      </c>
      <c r="AA680" t="s">
        <v>9295</v>
      </c>
      <c r="AB680" t="s">
        <v>9296</v>
      </c>
      <c r="AC680" t="s">
        <v>74</v>
      </c>
      <c r="AD680" t="s">
        <v>74</v>
      </c>
      <c r="AE680" t="s">
        <v>74</v>
      </c>
      <c r="AF680" t="s">
        <v>74</v>
      </c>
      <c r="AG680">
        <v>21</v>
      </c>
      <c r="AH680">
        <v>43</v>
      </c>
      <c r="AI680">
        <v>52</v>
      </c>
      <c r="AJ680">
        <v>0</v>
      </c>
      <c r="AK680">
        <v>12</v>
      </c>
      <c r="AL680" t="s">
        <v>203</v>
      </c>
      <c r="AM680" t="s">
        <v>204</v>
      </c>
      <c r="AN680" t="s">
        <v>205</v>
      </c>
      <c r="AO680" t="s">
        <v>2294</v>
      </c>
      <c r="AP680" t="s">
        <v>74</v>
      </c>
      <c r="AQ680" t="s">
        <v>74</v>
      </c>
      <c r="AR680" t="s">
        <v>2283</v>
      </c>
      <c r="AS680" t="s">
        <v>2295</v>
      </c>
      <c r="AT680" t="s">
        <v>9036</v>
      </c>
      <c r="AU680">
        <v>2001</v>
      </c>
      <c r="AV680">
        <v>5</v>
      </c>
      <c r="AW680">
        <v>2</v>
      </c>
      <c r="AX680" t="s">
        <v>74</v>
      </c>
      <c r="AY680" t="s">
        <v>74</v>
      </c>
      <c r="AZ680" t="s">
        <v>74</v>
      </c>
      <c r="BA680" t="s">
        <v>74</v>
      </c>
      <c r="BB680">
        <v>119</v>
      </c>
      <c r="BC680">
        <v>126</v>
      </c>
      <c r="BD680" t="s">
        <v>74</v>
      </c>
      <c r="BE680" t="s">
        <v>9297</v>
      </c>
      <c r="BF680" t="str">
        <f>HYPERLINK("http://dx.doi.org/10.1007/s007920100179","http://dx.doi.org/10.1007/s007920100179")</f>
        <v>http://dx.doi.org/10.1007/s007920100179</v>
      </c>
      <c r="BG680" t="s">
        <v>74</v>
      </c>
      <c r="BH680" t="s">
        <v>74</v>
      </c>
      <c r="BI680">
        <v>8</v>
      </c>
      <c r="BJ680" t="s">
        <v>2297</v>
      </c>
      <c r="BK680" t="s">
        <v>88</v>
      </c>
      <c r="BL680" t="s">
        <v>2297</v>
      </c>
      <c r="BM680" t="s">
        <v>9298</v>
      </c>
      <c r="BN680">
        <v>11354455</v>
      </c>
      <c r="BO680" t="s">
        <v>74</v>
      </c>
      <c r="BP680" t="s">
        <v>74</v>
      </c>
      <c r="BQ680" t="s">
        <v>74</v>
      </c>
      <c r="BR680" t="s">
        <v>91</v>
      </c>
      <c r="BS680" t="s">
        <v>9299</v>
      </c>
      <c r="BT680" t="str">
        <f>HYPERLINK("https%3A%2F%2Fwww.webofscience.com%2Fwos%2Fwoscc%2Ffull-record%2FWOS:000168502500006","View Full Record in Web of Science")</f>
        <v>View Full Record in Web of Science</v>
      </c>
    </row>
    <row r="681" spans="1:72" x14ac:dyDescent="0.15">
      <c r="A681" t="s">
        <v>72</v>
      </c>
      <c r="B681" t="s">
        <v>9300</v>
      </c>
      <c r="C681" t="s">
        <v>74</v>
      </c>
      <c r="D681" t="s">
        <v>74</v>
      </c>
      <c r="E681" t="s">
        <v>74</v>
      </c>
      <c r="F681" t="s">
        <v>9300</v>
      </c>
      <c r="G681" t="s">
        <v>74</v>
      </c>
      <c r="H681" t="s">
        <v>74</v>
      </c>
      <c r="I681" t="s">
        <v>9301</v>
      </c>
      <c r="J681" t="s">
        <v>9302</v>
      </c>
      <c r="K681" t="s">
        <v>74</v>
      </c>
      <c r="L681" t="s">
        <v>74</v>
      </c>
      <c r="M681" t="s">
        <v>77</v>
      </c>
      <c r="N681" t="s">
        <v>120</v>
      </c>
      <c r="O681" t="s">
        <v>74</v>
      </c>
      <c r="P681" t="s">
        <v>74</v>
      </c>
      <c r="Q681" t="s">
        <v>74</v>
      </c>
      <c r="R681" t="s">
        <v>74</v>
      </c>
      <c r="S681" t="s">
        <v>74</v>
      </c>
      <c r="T681" t="s">
        <v>74</v>
      </c>
      <c r="U681" t="s">
        <v>9303</v>
      </c>
      <c r="V681" t="s">
        <v>9304</v>
      </c>
      <c r="W681" t="s">
        <v>9305</v>
      </c>
      <c r="X681" t="s">
        <v>9306</v>
      </c>
      <c r="Y681" t="s">
        <v>9307</v>
      </c>
      <c r="Z681" t="s">
        <v>74</v>
      </c>
      <c r="AA681" t="s">
        <v>9308</v>
      </c>
      <c r="AB681" t="s">
        <v>9309</v>
      </c>
      <c r="AC681" t="s">
        <v>74</v>
      </c>
      <c r="AD681" t="s">
        <v>74</v>
      </c>
      <c r="AE681" t="s">
        <v>74</v>
      </c>
      <c r="AF681" t="s">
        <v>74</v>
      </c>
      <c r="AG681">
        <v>23</v>
      </c>
      <c r="AH681">
        <v>28</v>
      </c>
      <c r="AI681">
        <v>35</v>
      </c>
      <c r="AJ681">
        <v>0</v>
      </c>
      <c r="AK681">
        <v>13</v>
      </c>
      <c r="AL681" t="s">
        <v>9310</v>
      </c>
      <c r="AM681" t="s">
        <v>9311</v>
      </c>
      <c r="AN681" t="s">
        <v>9312</v>
      </c>
      <c r="AO681" t="s">
        <v>9313</v>
      </c>
      <c r="AP681" t="s">
        <v>74</v>
      </c>
      <c r="AQ681" t="s">
        <v>74</v>
      </c>
      <c r="AR681" t="s">
        <v>9314</v>
      </c>
      <c r="AS681" t="s">
        <v>9315</v>
      </c>
      <c r="AT681" t="s">
        <v>9036</v>
      </c>
      <c r="AU681">
        <v>2001</v>
      </c>
      <c r="AV681">
        <v>99</v>
      </c>
      <c r="AW681">
        <v>2</v>
      </c>
      <c r="AX681" t="s">
        <v>74</v>
      </c>
      <c r="AY681" t="s">
        <v>74</v>
      </c>
      <c r="AZ681" t="s">
        <v>74</v>
      </c>
      <c r="BA681" t="s">
        <v>74</v>
      </c>
      <c r="BB681">
        <v>303</v>
      </c>
      <c r="BC681">
        <v>308</v>
      </c>
      <c r="BD681" t="s">
        <v>74</v>
      </c>
      <c r="BE681" t="s">
        <v>74</v>
      </c>
      <c r="BF681" t="s">
        <v>74</v>
      </c>
      <c r="BG681" t="s">
        <v>74</v>
      </c>
      <c r="BH681" t="s">
        <v>74</v>
      </c>
      <c r="BI681">
        <v>6</v>
      </c>
      <c r="BJ681" t="s">
        <v>5948</v>
      </c>
      <c r="BK681" t="s">
        <v>88</v>
      </c>
      <c r="BL681" t="s">
        <v>5948</v>
      </c>
      <c r="BM681" t="s">
        <v>9316</v>
      </c>
      <c r="BN681" t="s">
        <v>74</v>
      </c>
      <c r="BO681" t="s">
        <v>74</v>
      </c>
      <c r="BP681" t="s">
        <v>74</v>
      </c>
      <c r="BQ681" t="s">
        <v>74</v>
      </c>
      <c r="BR681" t="s">
        <v>91</v>
      </c>
      <c r="BS681" t="s">
        <v>9317</v>
      </c>
      <c r="BT681" t="str">
        <f>HYPERLINK("https%3A%2F%2Fwww.webofscience.com%2Fwos%2Fwoscc%2Ffull-record%2FWOS:000168503600008","View Full Record in Web of Science")</f>
        <v>View Full Record in Web of Science</v>
      </c>
    </row>
    <row r="682" spans="1:72" x14ac:dyDescent="0.15">
      <c r="A682" t="s">
        <v>72</v>
      </c>
      <c r="B682" t="s">
        <v>9318</v>
      </c>
      <c r="C682" t="s">
        <v>74</v>
      </c>
      <c r="D682" t="s">
        <v>74</v>
      </c>
      <c r="E682" t="s">
        <v>74</v>
      </c>
      <c r="F682" t="s">
        <v>9318</v>
      </c>
      <c r="G682" t="s">
        <v>74</v>
      </c>
      <c r="H682" t="s">
        <v>74</v>
      </c>
      <c r="I682" t="s">
        <v>9319</v>
      </c>
      <c r="J682" t="s">
        <v>4997</v>
      </c>
      <c r="K682" t="s">
        <v>74</v>
      </c>
      <c r="L682" t="s">
        <v>74</v>
      </c>
      <c r="M682" t="s">
        <v>77</v>
      </c>
      <c r="N682" t="s">
        <v>120</v>
      </c>
      <c r="O682" t="s">
        <v>74</v>
      </c>
      <c r="P682" t="s">
        <v>74</v>
      </c>
      <c r="Q682" t="s">
        <v>74</v>
      </c>
      <c r="R682" t="s">
        <v>74</v>
      </c>
      <c r="S682" t="s">
        <v>74</v>
      </c>
      <c r="T682" t="s">
        <v>9320</v>
      </c>
      <c r="U682" t="s">
        <v>9321</v>
      </c>
      <c r="V682" t="s">
        <v>9322</v>
      </c>
      <c r="W682" t="s">
        <v>9323</v>
      </c>
      <c r="X682" t="s">
        <v>9324</v>
      </c>
      <c r="Y682" t="s">
        <v>9325</v>
      </c>
      <c r="Z682" t="s">
        <v>74</v>
      </c>
      <c r="AA682" t="s">
        <v>9326</v>
      </c>
      <c r="AB682" t="s">
        <v>9327</v>
      </c>
      <c r="AC682" t="s">
        <v>74</v>
      </c>
      <c r="AD682" t="s">
        <v>74</v>
      </c>
      <c r="AE682" t="s">
        <v>74</v>
      </c>
      <c r="AF682" t="s">
        <v>74</v>
      </c>
      <c r="AG682">
        <v>39</v>
      </c>
      <c r="AH682">
        <v>159</v>
      </c>
      <c r="AI682">
        <v>175</v>
      </c>
      <c r="AJ682">
        <v>0</v>
      </c>
      <c r="AK682">
        <v>28</v>
      </c>
      <c r="AL682" t="s">
        <v>1247</v>
      </c>
      <c r="AM682" t="s">
        <v>1248</v>
      </c>
      <c r="AN682" t="s">
        <v>1249</v>
      </c>
      <c r="AO682" t="s">
        <v>5003</v>
      </c>
      <c r="AP682" t="s">
        <v>9328</v>
      </c>
      <c r="AQ682" t="s">
        <v>74</v>
      </c>
      <c r="AR682" t="s">
        <v>5004</v>
      </c>
      <c r="AS682" t="s">
        <v>5005</v>
      </c>
      <c r="AT682" t="s">
        <v>9036</v>
      </c>
      <c r="AU682">
        <v>2001</v>
      </c>
      <c r="AV682">
        <v>15</v>
      </c>
      <c r="AW682">
        <v>2</v>
      </c>
      <c r="AX682" t="s">
        <v>74</v>
      </c>
      <c r="AY682" t="s">
        <v>74</v>
      </c>
      <c r="AZ682" t="s">
        <v>74</v>
      </c>
      <c r="BA682" t="s">
        <v>74</v>
      </c>
      <c r="BB682">
        <v>203</v>
      </c>
      <c r="BC682">
        <v>210</v>
      </c>
      <c r="BD682" t="s">
        <v>74</v>
      </c>
      <c r="BE682" t="s">
        <v>9329</v>
      </c>
      <c r="BF682" t="str">
        <f>HYPERLINK("http://dx.doi.org/10.1046/j.1365-2435.2001.00514.x","http://dx.doi.org/10.1046/j.1365-2435.2001.00514.x")</f>
        <v>http://dx.doi.org/10.1046/j.1365-2435.2001.00514.x</v>
      </c>
      <c r="BG682" t="s">
        <v>74</v>
      </c>
      <c r="BH682" t="s">
        <v>74</v>
      </c>
      <c r="BI682">
        <v>8</v>
      </c>
      <c r="BJ682" t="s">
        <v>4932</v>
      </c>
      <c r="BK682" t="s">
        <v>88</v>
      </c>
      <c r="BL682" t="s">
        <v>2955</v>
      </c>
      <c r="BM682" t="s">
        <v>9330</v>
      </c>
      <c r="BN682" t="s">
        <v>74</v>
      </c>
      <c r="BO682" t="s">
        <v>171</v>
      </c>
      <c r="BP682" t="s">
        <v>74</v>
      </c>
      <c r="BQ682" t="s">
        <v>74</v>
      </c>
      <c r="BR682" t="s">
        <v>91</v>
      </c>
      <c r="BS682" t="s">
        <v>9331</v>
      </c>
      <c r="BT682" t="str">
        <f>HYPERLINK("https%3A%2F%2Fwww.webofscience.com%2Fwos%2Fwoscc%2Ffull-record%2FWOS:000168273700006","View Full Record in Web of Science")</f>
        <v>View Full Record in Web of Science</v>
      </c>
    </row>
    <row r="683" spans="1:72" x14ac:dyDescent="0.15">
      <c r="A683" t="s">
        <v>72</v>
      </c>
      <c r="B683" t="s">
        <v>9332</v>
      </c>
      <c r="C683" t="s">
        <v>74</v>
      </c>
      <c r="D683" t="s">
        <v>74</v>
      </c>
      <c r="E683" t="s">
        <v>74</v>
      </c>
      <c r="F683" t="s">
        <v>9332</v>
      </c>
      <c r="G683" t="s">
        <v>74</v>
      </c>
      <c r="H683" t="s">
        <v>74</v>
      </c>
      <c r="I683" t="s">
        <v>9333</v>
      </c>
      <c r="J683" t="s">
        <v>2302</v>
      </c>
      <c r="K683" t="s">
        <v>74</v>
      </c>
      <c r="L683" t="s">
        <v>74</v>
      </c>
      <c r="M683" t="s">
        <v>77</v>
      </c>
      <c r="N683" t="s">
        <v>120</v>
      </c>
      <c r="O683" t="s">
        <v>74</v>
      </c>
      <c r="P683" t="s">
        <v>74</v>
      </c>
      <c r="Q683" t="s">
        <v>74</v>
      </c>
      <c r="R683" t="s">
        <v>74</v>
      </c>
      <c r="S683" t="s">
        <v>74</v>
      </c>
      <c r="T683" t="s">
        <v>9334</v>
      </c>
      <c r="U683" t="s">
        <v>9335</v>
      </c>
      <c r="V683" t="s">
        <v>9336</v>
      </c>
      <c r="W683" t="s">
        <v>9337</v>
      </c>
      <c r="X683" t="s">
        <v>9338</v>
      </c>
      <c r="Y683" t="s">
        <v>9339</v>
      </c>
      <c r="Z683" t="s">
        <v>74</v>
      </c>
      <c r="AA683" t="s">
        <v>9340</v>
      </c>
      <c r="AB683" t="s">
        <v>74</v>
      </c>
      <c r="AC683" t="s">
        <v>74</v>
      </c>
      <c r="AD683" t="s">
        <v>74</v>
      </c>
      <c r="AE683" t="s">
        <v>74</v>
      </c>
      <c r="AF683" t="s">
        <v>74</v>
      </c>
      <c r="AG683">
        <v>24</v>
      </c>
      <c r="AH683">
        <v>43</v>
      </c>
      <c r="AI683">
        <v>47</v>
      </c>
      <c r="AJ683">
        <v>0</v>
      </c>
      <c r="AK683">
        <v>11</v>
      </c>
      <c r="AL683" t="s">
        <v>3664</v>
      </c>
      <c r="AM683" t="s">
        <v>792</v>
      </c>
      <c r="AN683" t="s">
        <v>2312</v>
      </c>
      <c r="AO683" t="s">
        <v>2313</v>
      </c>
      <c r="AP683" t="s">
        <v>74</v>
      </c>
      <c r="AQ683" t="s">
        <v>74</v>
      </c>
      <c r="AR683" t="s">
        <v>2302</v>
      </c>
      <c r="AS683" t="s">
        <v>113</v>
      </c>
      <c r="AT683" t="s">
        <v>9036</v>
      </c>
      <c r="AU683">
        <v>2001</v>
      </c>
      <c r="AV683">
        <v>29</v>
      </c>
      <c r="AW683">
        <v>4</v>
      </c>
      <c r="AX683" t="s">
        <v>74</v>
      </c>
      <c r="AY683" t="s">
        <v>74</v>
      </c>
      <c r="AZ683" t="s">
        <v>74</v>
      </c>
      <c r="BA683" t="s">
        <v>74</v>
      </c>
      <c r="BB683">
        <v>343</v>
      </c>
      <c r="BC683">
        <v>346</v>
      </c>
      <c r="BD683" t="s">
        <v>74</v>
      </c>
      <c r="BE683" t="s">
        <v>9341</v>
      </c>
      <c r="BF683" t="str">
        <f>HYPERLINK("http://dx.doi.org/10.1130/0091-7613(2001)029&lt;0343:LGOGIS&gt;2.0.CO;2","http://dx.doi.org/10.1130/0091-7613(2001)029&lt;0343:LGOGIS&gt;2.0.CO;2")</f>
        <v>http://dx.doi.org/10.1130/0091-7613(2001)029&lt;0343:LGOGIS&gt;2.0.CO;2</v>
      </c>
      <c r="BG683" t="s">
        <v>74</v>
      </c>
      <c r="BH683" t="s">
        <v>74</v>
      </c>
      <c r="BI683">
        <v>4</v>
      </c>
      <c r="BJ683" t="s">
        <v>113</v>
      </c>
      <c r="BK683" t="s">
        <v>88</v>
      </c>
      <c r="BL683" t="s">
        <v>113</v>
      </c>
      <c r="BM683" t="s">
        <v>9342</v>
      </c>
      <c r="BN683" t="s">
        <v>74</v>
      </c>
      <c r="BO683" t="s">
        <v>74</v>
      </c>
      <c r="BP683" t="s">
        <v>74</v>
      </c>
      <c r="BQ683" t="s">
        <v>74</v>
      </c>
      <c r="BR683" t="s">
        <v>91</v>
      </c>
      <c r="BS683" t="s">
        <v>9343</v>
      </c>
      <c r="BT683" t="str">
        <f>HYPERLINK("https%3A%2F%2Fwww.webofscience.com%2Fwos%2Fwoscc%2Ffull-record%2FWOS:000167694000014","View Full Record in Web of Science")</f>
        <v>View Full Record in Web of Science</v>
      </c>
    </row>
    <row r="684" spans="1:72" x14ac:dyDescent="0.15">
      <c r="A684" t="s">
        <v>72</v>
      </c>
      <c r="B684" t="s">
        <v>9344</v>
      </c>
      <c r="C684" t="s">
        <v>74</v>
      </c>
      <c r="D684" t="s">
        <v>74</v>
      </c>
      <c r="E684" t="s">
        <v>74</v>
      </c>
      <c r="F684" t="s">
        <v>9344</v>
      </c>
      <c r="G684" t="s">
        <v>74</v>
      </c>
      <c r="H684" t="s">
        <v>74</v>
      </c>
      <c r="I684" t="s">
        <v>9345</v>
      </c>
      <c r="J684" t="s">
        <v>9346</v>
      </c>
      <c r="K684" t="s">
        <v>74</v>
      </c>
      <c r="L684" t="s">
        <v>74</v>
      </c>
      <c r="M684" t="s">
        <v>77</v>
      </c>
      <c r="N684" t="s">
        <v>120</v>
      </c>
      <c r="O684" t="s">
        <v>74</v>
      </c>
      <c r="P684" t="s">
        <v>74</v>
      </c>
      <c r="Q684" t="s">
        <v>74</v>
      </c>
      <c r="R684" t="s">
        <v>74</v>
      </c>
      <c r="S684" t="s">
        <v>74</v>
      </c>
      <c r="T684" t="s">
        <v>9347</v>
      </c>
      <c r="U684" t="s">
        <v>9348</v>
      </c>
      <c r="V684" t="s">
        <v>9349</v>
      </c>
      <c r="W684" t="s">
        <v>9350</v>
      </c>
      <c r="X684" t="s">
        <v>9351</v>
      </c>
      <c r="Y684" t="s">
        <v>74</v>
      </c>
      <c r="Z684" t="s">
        <v>9352</v>
      </c>
      <c r="AA684" t="s">
        <v>9353</v>
      </c>
      <c r="AB684" t="s">
        <v>9354</v>
      </c>
      <c r="AC684" t="s">
        <v>74</v>
      </c>
      <c r="AD684" t="s">
        <v>74</v>
      </c>
      <c r="AE684" t="s">
        <v>74</v>
      </c>
      <c r="AF684" t="s">
        <v>74</v>
      </c>
      <c r="AG684">
        <v>56</v>
      </c>
      <c r="AH684">
        <v>55</v>
      </c>
      <c r="AI684">
        <v>59</v>
      </c>
      <c r="AJ684">
        <v>0</v>
      </c>
      <c r="AK684">
        <v>10</v>
      </c>
      <c r="AL684" t="s">
        <v>1247</v>
      </c>
      <c r="AM684" t="s">
        <v>1248</v>
      </c>
      <c r="AN684" t="s">
        <v>1249</v>
      </c>
      <c r="AO684" t="s">
        <v>9355</v>
      </c>
      <c r="AP684" t="s">
        <v>9356</v>
      </c>
      <c r="AQ684" t="s">
        <v>74</v>
      </c>
      <c r="AR684" t="s">
        <v>9357</v>
      </c>
      <c r="AS684" t="s">
        <v>9358</v>
      </c>
      <c r="AT684" t="s">
        <v>9036</v>
      </c>
      <c r="AU684">
        <v>2001</v>
      </c>
      <c r="AV684">
        <v>7</v>
      </c>
      <c r="AW684">
        <v>4</v>
      </c>
      <c r="AX684" t="s">
        <v>74</v>
      </c>
      <c r="AY684" t="s">
        <v>74</v>
      </c>
      <c r="AZ684" t="s">
        <v>74</v>
      </c>
      <c r="BA684" t="s">
        <v>74</v>
      </c>
      <c r="BB684">
        <v>467</v>
      </c>
      <c r="BC684">
        <v>478</v>
      </c>
      <c r="BD684" t="s">
        <v>74</v>
      </c>
      <c r="BE684" t="s">
        <v>9359</v>
      </c>
      <c r="BF684" t="str">
        <f>HYPERLINK("http://dx.doi.org/10.1046/j.1365-2486.2001.00413.x","http://dx.doi.org/10.1046/j.1365-2486.2001.00413.x")</f>
        <v>http://dx.doi.org/10.1046/j.1365-2486.2001.00413.x</v>
      </c>
      <c r="BG684" t="s">
        <v>74</v>
      </c>
      <c r="BH684" t="s">
        <v>74</v>
      </c>
      <c r="BI684">
        <v>12</v>
      </c>
      <c r="BJ684" t="s">
        <v>6974</v>
      </c>
      <c r="BK684" t="s">
        <v>88</v>
      </c>
      <c r="BL684" t="s">
        <v>210</v>
      </c>
      <c r="BM684" t="s">
        <v>9360</v>
      </c>
      <c r="BN684" t="s">
        <v>74</v>
      </c>
      <c r="BO684" t="s">
        <v>761</v>
      </c>
      <c r="BP684" t="s">
        <v>74</v>
      </c>
      <c r="BQ684" t="s">
        <v>74</v>
      </c>
      <c r="BR684" t="s">
        <v>91</v>
      </c>
      <c r="BS684" t="s">
        <v>9361</v>
      </c>
      <c r="BT684" t="str">
        <f>HYPERLINK("https%3A%2F%2Fwww.webofscience.com%2Fwos%2Fwoscc%2Ffull-record%2FWOS:000169084700010","View Full Record in Web of Science")</f>
        <v>View Full Record in Web of Science</v>
      </c>
    </row>
    <row r="685" spans="1:72" x14ac:dyDescent="0.15">
      <c r="A685" t="s">
        <v>72</v>
      </c>
      <c r="B685" t="s">
        <v>9362</v>
      </c>
      <c r="C685" t="s">
        <v>74</v>
      </c>
      <c r="D685" t="s">
        <v>74</v>
      </c>
      <c r="E685" t="s">
        <v>74</v>
      </c>
      <c r="F685" t="s">
        <v>9362</v>
      </c>
      <c r="G685" t="s">
        <v>74</v>
      </c>
      <c r="H685" t="s">
        <v>74</v>
      </c>
      <c r="I685" t="s">
        <v>9363</v>
      </c>
      <c r="J685" t="s">
        <v>9346</v>
      </c>
      <c r="K685" t="s">
        <v>74</v>
      </c>
      <c r="L685" t="s">
        <v>74</v>
      </c>
      <c r="M685" t="s">
        <v>77</v>
      </c>
      <c r="N685" t="s">
        <v>120</v>
      </c>
      <c r="O685" t="s">
        <v>74</v>
      </c>
      <c r="P685" t="s">
        <v>74</v>
      </c>
      <c r="Q685" t="s">
        <v>74</v>
      </c>
      <c r="R685" t="s">
        <v>74</v>
      </c>
      <c r="S685" t="s">
        <v>74</v>
      </c>
      <c r="T685" t="s">
        <v>9364</v>
      </c>
      <c r="U685" t="s">
        <v>9365</v>
      </c>
      <c r="V685" t="s">
        <v>9366</v>
      </c>
      <c r="W685" t="s">
        <v>9367</v>
      </c>
      <c r="X685" t="s">
        <v>9368</v>
      </c>
      <c r="Y685" t="s">
        <v>9369</v>
      </c>
      <c r="Z685" t="s">
        <v>74</v>
      </c>
      <c r="AA685" t="s">
        <v>9370</v>
      </c>
      <c r="AB685" t="s">
        <v>74</v>
      </c>
      <c r="AC685" t="s">
        <v>74</v>
      </c>
      <c r="AD685" t="s">
        <v>74</v>
      </c>
      <c r="AE685" t="s">
        <v>74</v>
      </c>
      <c r="AF685" t="s">
        <v>74</v>
      </c>
      <c r="AG685">
        <v>18</v>
      </c>
      <c r="AH685">
        <v>25</v>
      </c>
      <c r="AI685">
        <v>33</v>
      </c>
      <c r="AJ685">
        <v>2</v>
      </c>
      <c r="AK685">
        <v>20</v>
      </c>
      <c r="AL685" t="s">
        <v>1080</v>
      </c>
      <c r="AM685" t="s">
        <v>80</v>
      </c>
      <c r="AN685" t="s">
        <v>1081</v>
      </c>
      <c r="AO685" t="s">
        <v>9355</v>
      </c>
      <c r="AP685" t="s">
        <v>74</v>
      </c>
      <c r="AQ685" t="s">
        <v>74</v>
      </c>
      <c r="AR685" t="s">
        <v>9357</v>
      </c>
      <c r="AS685" t="s">
        <v>9358</v>
      </c>
      <c r="AT685" t="s">
        <v>9036</v>
      </c>
      <c r="AU685">
        <v>2001</v>
      </c>
      <c r="AV685">
        <v>7</v>
      </c>
      <c r="AW685">
        <v>4</v>
      </c>
      <c r="AX685" t="s">
        <v>74</v>
      </c>
      <c r="AY685" t="s">
        <v>74</v>
      </c>
      <c r="AZ685" t="s">
        <v>74</v>
      </c>
      <c r="BA685" t="s">
        <v>74</v>
      </c>
      <c r="BB685">
        <v>479</v>
      </c>
      <c r="BC685">
        <v>483</v>
      </c>
      <c r="BD685" t="s">
        <v>74</v>
      </c>
      <c r="BE685" t="s">
        <v>9371</v>
      </c>
      <c r="BF685" t="str">
        <f>HYPERLINK("http://dx.doi.org/10.1046/j.1365-2486.2001.00423.x","http://dx.doi.org/10.1046/j.1365-2486.2001.00423.x")</f>
        <v>http://dx.doi.org/10.1046/j.1365-2486.2001.00423.x</v>
      </c>
      <c r="BG685" t="s">
        <v>74</v>
      </c>
      <c r="BH685" t="s">
        <v>74</v>
      </c>
      <c r="BI685">
        <v>5</v>
      </c>
      <c r="BJ685" t="s">
        <v>6974</v>
      </c>
      <c r="BK685" t="s">
        <v>88</v>
      </c>
      <c r="BL685" t="s">
        <v>210</v>
      </c>
      <c r="BM685" t="s">
        <v>9360</v>
      </c>
      <c r="BN685" t="s">
        <v>74</v>
      </c>
      <c r="BO685" t="s">
        <v>74</v>
      </c>
      <c r="BP685" t="s">
        <v>74</v>
      </c>
      <c r="BQ685" t="s">
        <v>74</v>
      </c>
      <c r="BR685" t="s">
        <v>91</v>
      </c>
      <c r="BS685" t="s">
        <v>9372</v>
      </c>
      <c r="BT685" t="str">
        <f>HYPERLINK("https%3A%2F%2Fwww.webofscience.com%2Fwos%2Fwoscc%2Ffull-record%2FWOS:000169084700011","View Full Record in Web of Science")</f>
        <v>View Full Record in Web of Science</v>
      </c>
    </row>
    <row r="686" spans="1:72" x14ac:dyDescent="0.15">
      <c r="A686" t="s">
        <v>72</v>
      </c>
      <c r="B686" t="s">
        <v>9373</v>
      </c>
      <c r="C686" t="s">
        <v>74</v>
      </c>
      <c r="D686" t="s">
        <v>74</v>
      </c>
      <c r="E686" t="s">
        <v>74</v>
      </c>
      <c r="F686" t="s">
        <v>9373</v>
      </c>
      <c r="G686" t="s">
        <v>74</v>
      </c>
      <c r="H686" t="s">
        <v>74</v>
      </c>
      <c r="I686" t="s">
        <v>9374</v>
      </c>
      <c r="J686" t="s">
        <v>9375</v>
      </c>
      <c r="K686" t="s">
        <v>74</v>
      </c>
      <c r="L686" t="s">
        <v>74</v>
      </c>
      <c r="M686" t="s">
        <v>77</v>
      </c>
      <c r="N686" t="s">
        <v>120</v>
      </c>
      <c r="O686" t="s">
        <v>74</v>
      </c>
      <c r="P686" t="s">
        <v>74</v>
      </c>
      <c r="Q686" t="s">
        <v>74</v>
      </c>
      <c r="R686" t="s">
        <v>74</v>
      </c>
      <c r="S686" t="s">
        <v>74</v>
      </c>
      <c r="T686" t="s">
        <v>74</v>
      </c>
      <c r="U686" t="s">
        <v>74</v>
      </c>
      <c r="V686" t="s">
        <v>74</v>
      </c>
      <c r="W686" t="s">
        <v>9376</v>
      </c>
      <c r="X686" t="s">
        <v>3538</v>
      </c>
      <c r="Y686" t="s">
        <v>9377</v>
      </c>
      <c r="Z686" t="s">
        <v>74</v>
      </c>
      <c r="AA686" t="s">
        <v>74</v>
      </c>
      <c r="AB686" t="s">
        <v>74</v>
      </c>
      <c r="AC686" t="s">
        <v>74</v>
      </c>
      <c r="AD686" t="s">
        <v>74</v>
      </c>
      <c r="AE686" t="s">
        <v>74</v>
      </c>
      <c r="AF686" t="s">
        <v>74</v>
      </c>
      <c r="AG686">
        <v>0</v>
      </c>
      <c r="AH686">
        <v>2</v>
      </c>
      <c r="AI686">
        <v>2</v>
      </c>
      <c r="AJ686">
        <v>0</v>
      </c>
      <c r="AK686">
        <v>0</v>
      </c>
      <c r="AL686" t="s">
        <v>9378</v>
      </c>
      <c r="AM686" t="s">
        <v>9379</v>
      </c>
      <c r="AN686" t="s">
        <v>9380</v>
      </c>
      <c r="AO686" t="s">
        <v>9381</v>
      </c>
      <c r="AP686" t="s">
        <v>74</v>
      </c>
      <c r="AQ686" t="s">
        <v>74</v>
      </c>
      <c r="AR686" t="s">
        <v>9382</v>
      </c>
      <c r="AS686" t="s">
        <v>9383</v>
      </c>
      <c r="AT686" t="s">
        <v>9036</v>
      </c>
      <c r="AU686">
        <v>2001</v>
      </c>
      <c r="AV686">
        <v>4</v>
      </c>
      <c r="AW686">
        <v>2</v>
      </c>
      <c r="AX686" t="s">
        <v>74</v>
      </c>
      <c r="AY686" t="s">
        <v>74</v>
      </c>
      <c r="AZ686" t="s">
        <v>7049</v>
      </c>
      <c r="BA686" t="s">
        <v>74</v>
      </c>
      <c r="BB686">
        <v>171</v>
      </c>
      <c r="BC686">
        <v>171</v>
      </c>
      <c r="BD686" t="s">
        <v>74</v>
      </c>
      <c r="BE686" t="s">
        <v>9384</v>
      </c>
      <c r="BF686" t="str">
        <f>HYPERLINK("http://dx.doi.org/10.1016/S1342-937X(05)70682-1","http://dx.doi.org/10.1016/S1342-937X(05)70682-1")</f>
        <v>http://dx.doi.org/10.1016/S1342-937X(05)70682-1</v>
      </c>
      <c r="BG686" t="s">
        <v>74</v>
      </c>
      <c r="BH686" t="s">
        <v>74</v>
      </c>
      <c r="BI686">
        <v>1</v>
      </c>
      <c r="BJ686" t="s">
        <v>300</v>
      </c>
      <c r="BK686" t="s">
        <v>88</v>
      </c>
      <c r="BL686" t="s">
        <v>113</v>
      </c>
      <c r="BM686" t="s">
        <v>9385</v>
      </c>
      <c r="BN686" t="s">
        <v>74</v>
      </c>
      <c r="BO686" t="s">
        <v>74</v>
      </c>
      <c r="BP686" t="s">
        <v>74</v>
      </c>
      <c r="BQ686" t="s">
        <v>74</v>
      </c>
      <c r="BR686" t="s">
        <v>91</v>
      </c>
      <c r="BS686" t="s">
        <v>9386</v>
      </c>
      <c r="BT686" t="str">
        <f>HYPERLINK("https%3A%2F%2Fwww.webofscience.com%2Fwos%2Fwoscc%2Ffull-record%2FWOS:000167653400021","View Full Record in Web of Science")</f>
        <v>View Full Record in Web of Science</v>
      </c>
    </row>
    <row r="687" spans="1:72" x14ac:dyDescent="0.15">
      <c r="A687" t="s">
        <v>72</v>
      </c>
      <c r="B687" t="s">
        <v>9387</v>
      </c>
      <c r="C687" t="s">
        <v>74</v>
      </c>
      <c r="D687" t="s">
        <v>74</v>
      </c>
      <c r="E687" t="s">
        <v>74</v>
      </c>
      <c r="F687" t="s">
        <v>9387</v>
      </c>
      <c r="G687" t="s">
        <v>74</v>
      </c>
      <c r="H687" t="s">
        <v>74</v>
      </c>
      <c r="I687" t="s">
        <v>9388</v>
      </c>
      <c r="J687" t="s">
        <v>9375</v>
      </c>
      <c r="K687" t="s">
        <v>74</v>
      </c>
      <c r="L687" t="s">
        <v>74</v>
      </c>
      <c r="M687" t="s">
        <v>77</v>
      </c>
      <c r="N687" t="s">
        <v>120</v>
      </c>
      <c r="O687" t="s">
        <v>74</v>
      </c>
      <c r="P687" t="s">
        <v>74</v>
      </c>
      <c r="Q687" t="s">
        <v>74</v>
      </c>
      <c r="R687" t="s">
        <v>74</v>
      </c>
      <c r="S687" t="s">
        <v>74</v>
      </c>
      <c r="T687" t="s">
        <v>74</v>
      </c>
      <c r="U687" t="s">
        <v>9389</v>
      </c>
      <c r="V687" t="s">
        <v>74</v>
      </c>
      <c r="W687" t="s">
        <v>9390</v>
      </c>
      <c r="X687" t="s">
        <v>3538</v>
      </c>
      <c r="Y687" t="s">
        <v>9391</v>
      </c>
      <c r="Z687" t="s">
        <v>74</v>
      </c>
      <c r="AA687" t="s">
        <v>74</v>
      </c>
      <c r="AB687" t="s">
        <v>74</v>
      </c>
      <c r="AC687" t="s">
        <v>74</v>
      </c>
      <c r="AD687" t="s">
        <v>74</v>
      </c>
      <c r="AE687" t="s">
        <v>74</v>
      </c>
      <c r="AF687" t="s">
        <v>74</v>
      </c>
      <c r="AG687">
        <v>6</v>
      </c>
      <c r="AH687">
        <v>2</v>
      </c>
      <c r="AI687">
        <v>2</v>
      </c>
      <c r="AJ687">
        <v>0</v>
      </c>
      <c r="AK687">
        <v>0</v>
      </c>
      <c r="AL687" t="s">
        <v>9378</v>
      </c>
      <c r="AM687" t="s">
        <v>9379</v>
      </c>
      <c r="AN687" t="s">
        <v>9380</v>
      </c>
      <c r="AO687" t="s">
        <v>9381</v>
      </c>
      <c r="AP687" t="s">
        <v>74</v>
      </c>
      <c r="AQ687" t="s">
        <v>74</v>
      </c>
      <c r="AR687" t="s">
        <v>9382</v>
      </c>
      <c r="AS687" t="s">
        <v>9383</v>
      </c>
      <c r="AT687" t="s">
        <v>9036</v>
      </c>
      <c r="AU687">
        <v>2001</v>
      </c>
      <c r="AV687">
        <v>4</v>
      </c>
      <c r="AW687">
        <v>2</v>
      </c>
      <c r="AX687" t="s">
        <v>74</v>
      </c>
      <c r="AY687" t="s">
        <v>74</v>
      </c>
      <c r="AZ687" t="s">
        <v>7049</v>
      </c>
      <c r="BA687" t="s">
        <v>74</v>
      </c>
      <c r="BB687">
        <v>195</v>
      </c>
      <c r="BC687">
        <v>198</v>
      </c>
      <c r="BD687" t="s">
        <v>74</v>
      </c>
      <c r="BE687" t="s">
        <v>9392</v>
      </c>
      <c r="BF687" t="str">
        <f>HYPERLINK("http://dx.doi.org/10.1016/S1342-937X(05)70693-6","http://dx.doi.org/10.1016/S1342-937X(05)70693-6")</f>
        <v>http://dx.doi.org/10.1016/S1342-937X(05)70693-6</v>
      </c>
      <c r="BG687" t="s">
        <v>74</v>
      </c>
      <c r="BH687" t="s">
        <v>74</v>
      </c>
      <c r="BI687">
        <v>4</v>
      </c>
      <c r="BJ687" t="s">
        <v>300</v>
      </c>
      <c r="BK687" t="s">
        <v>88</v>
      </c>
      <c r="BL687" t="s">
        <v>113</v>
      </c>
      <c r="BM687" t="s">
        <v>9385</v>
      </c>
      <c r="BN687" t="s">
        <v>74</v>
      </c>
      <c r="BO687" t="s">
        <v>74</v>
      </c>
      <c r="BP687" t="s">
        <v>74</v>
      </c>
      <c r="BQ687" t="s">
        <v>74</v>
      </c>
      <c r="BR687" t="s">
        <v>91</v>
      </c>
      <c r="BS687" t="s">
        <v>9393</v>
      </c>
      <c r="BT687" t="str">
        <f>HYPERLINK("https%3A%2F%2Fwww.webofscience.com%2Fwos%2Fwoscc%2Ffull-record%2FWOS:000167653400032","View Full Record in Web of Science")</f>
        <v>View Full Record in Web of Science</v>
      </c>
    </row>
    <row r="688" spans="1:72" x14ac:dyDescent="0.15">
      <c r="A688" t="s">
        <v>72</v>
      </c>
      <c r="B688" t="s">
        <v>9394</v>
      </c>
      <c r="C688" t="s">
        <v>74</v>
      </c>
      <c r="D688" t="s">
        <v>74</v>
      </c>
      <c r="E688" t="s">
        <v>74</v>
      </c>
      <c r="F688" t="s">
        <v>9394</v>
      </c>
      <c r="G688" t="s">
        <v>74</v>
      </c>
      <c r="H688" t="s">
        <v>74</v>
      </c>
      <c r="I688" t="s">
        <v>9395</v>
      </c>
      <c r="J688" t="s">
        <v>5550</v>
      </c>
      <c r="K688" t="s">
        <v>74</v>
      </c>
      <c r="L688" t="s">
        <v>74</v>
      </c>
      <c r="M688" t="s">
        <v>77</v>
      </c>
      <c r="N688" t="s">
        <v>120</v>
      </c>
      <c r="O688" t="s">
        <v>74</v>
      </c>
      <c r="P688" t="s">
        <v>74</v>
      </c>
      <c r="Q688" t="s">
        <v>74</v>
      </c>
      <c r="R688" t="s">
        <v>74</v>
      </c>
      <c r="S688" t="s">
        <v>74</v>
      </c>
      <c r="T688" t="s">
        <v>9396</v>
      </c>
      <c r="U688" t="s">
        <v>9397</v>
      </c>
      <c r="V688" t="s">
        <v>9398</v>
      </c>
      <c r="W688" t="s">
        <v>9399</v>
      </c>
      <c r="X688" t="s">
        <v>9400</v>
      </c>
      <c r="Y688" t="s">
        <v>9401</v>
      </c>
      <c r="Z688" t="s">
        <v>74</v>
      </c>
      <c r="AA688" t="s">
        <v>74</v>
      </c>
      <c r="AB688" t="s">
        <v>74</v>
      </c>
      <c r="AC688" t="s">
        <v>74</v>
      </c>
      <c r="AD688" t="s">
        <v>74</v>
      </c>
      <c r="AE688" t="s">
        <v>74</v>
      </c>
      <c r="AF688" t="s">
        <v>74</v>
      </c>
      <c r="AG688">
        <v>49</v>
      </c>
      <c r="AH688">
        <v>33</v>
      </c>
      <c r="AI688">
        <v>36</v>
      </c>
      <c r="AJ688">
        <v>0</v>
      </c>
      <c r="AK688">
        <v>8</v>
      </c>
      <c r="AL688" t="s">
        <v>2223</v>
      </c>
      <c r="AM688" t="s">
        <v>2224</v>
      </c>
      <c r="AN688" t="s">
        <v>2225</v>
      </c>
      <c r="AO688" t="s">
        <v>5561</v>
      </c>
      <c r="AP688" t="s">
        <v>74</v>
      </c>
      <c r="AQ688" t="s">
        <v>74</v>
      </c>
      <c r="AR688" t="s">
        <v>5550</v>
      </c>
      <c r="AS688" t="s">
        <v>5562</v>
      </c>
      <c r="AT688" t="s">
        <v>9036</v>
      </c>
      <c r="AU688">
        <v>2001</v>
      </c>
      <c r="AV688">
        <v>448</v>
      </c>
      <c r="AW688" t="s">
        <v>2229</v>
      </c>
      <c r="AX688" t="s">
        <v>74</v>
      </c>
      <c r="AY688" t="s">
        <v>74</v>
      </c>
      <c r="AZ688" t="s">
        <v>74</v>
      </c>
      <c r="BA688" t="s">
        <v>74</v>
      </c>
      <c r="BB688">
        <v>143</v>
      </c>
      <c r="BC688">
        <v>169</v>
      </c>
      <c r="BD688" t="s">
        <v>74</v>
      </c>
      <c r="BE688" t="s">
        <v>9402</v>
      </c>
      <c r="BF688" t="str">
        <f>HYPERLINK("http://dx.doi.org/10.1023/A:1017549321961","http://dx.doi.org/10.1023/A:1017549321961")</f>
        <v>http://dx.doi.org/10.1023/A:1017549321961</v>
      </c>
      <c r="BG688" t="s">
        <v>74</v>
      </c>
      <c r="BH688" t="s">
        <v>74</v>
      </c>
      <c r="BI688">
        <v>27</v>
      </c>
      <c r="BJ688" t="s">
        <v>323</v>
      </c>
      <c r="BK688" t="s">
        <v>88</v>
      </c>
      <c r="BL688" t="s">
        <v>323</v>
      </c>
      <c r="BM688" t="s">
        <v>9403</v>
      </c>
      <c r="BN688" t="s">
        <v>74</v>
      </c>
      <c r="BO688" t="s">
        <v>74</v>
      </c>
      <c r="BP688" t="s">
        <v>74</v>
      </c>
      <c r="BQ688" t="s">
        <v>74</v>
      </c>
      <c r="BR688" t="s">
        <v>91</v>
      </c>
      <c r="BS688" t="s">
        <v>9404</v>
      </c>
      <c r="BT688" t="str">
        <f>HYPERLINK("https%3A%2F%2Fwww.webofscience.com%2Fwos%2Fwoscc%2Ffull-record%2FWOS:000169863400014","View Full Record in Web of Science")</f>
        <v>View Full Record in Web of Science</v>
      </c>
    </row>
    <row r="689" spans="1:72" x14ac:dyDescent="0.15">
      <c r="A689" t="s">
        <v>72</v>
      </c>
      <c r="B689" t="s">
        <v>9405</v>
      </c>
      <c r="C689" t="s">
        <v>74</v>
      </c>
      <c r="D689" t="s">
        <v>74</v>
      </c>
      <c r="E689" t="s">
        <v>74</v>
      </c>
      <c r="F689" t="s">
        <v>9405</v>
      </c>
      <c r="G689" t="s">
        <v>74</v>
      </c>
      <c r="H689" t="s">
        <v>74</v>
      </c>
      <c r="I689" t="s">
        <v>9406</v>
      </c>
      <c r="J689" t="s">
        <v>5550</v>
      </c>
      <c r="K689" t="s">
        <v>74</v>
      </c>
      <c r="L689" t="s">
        <v>74</v>
      </c>
      <c r="M689" t="s">
        <v>77</v>
      </c>
      <c r="N689" t="s">
        <v>120</v>
      </c>
      <c r="O689" t="s">
        <v>74</v>
      </c>
      <c r="P689" t="s">
        <v>74</v>
      </c>
      <c r="Q689" t="s">
        <v>74</v>
      </c>
      <c r="R689" t="s">
        <v>74</v>
      </c>
      <c r="S689" t="s">
        <v>74</v>
      </c>
      <c r="T689" t="s">
        <v>9407</v>
      </c>
      <c r="U689" t="s">
        <v>9408</v>
      </c>
      <c r="V689" t="s">
        <v>9409</v>
      </c>
      <c r="W689" t="s">
        <v>9410</v>
      </c>
      <c r="X689" t="s">
        <v>9411</v>
      </c>
      <c r="Y689" t="s">
        <v>9412</v>
      </c>
      <c r="Z689" t="s">
        <v>74</v>
      </c>
      <c r="AA689" t="s">
        <v>9413</v>
      </c>
      <c r="AB689" t="s">
        <v>9414</v>
      </c>
      <c r="AC689" t="s">
        <v>74</v>
      </c>
      <c r="AD689" t="s">
        <v>74</v>
      </c>
      <c r="AE689" t="s">
        <v>74</v>
      </c>
      <c r="AF689" t="s">
        <v>74</v>
      </c>
      <c r="AG689">
        <v>62</v>
      </c>
      <c r="AH689">
        <v>7</v>
      </c>
      <c r="AI689">
        <v>7</v>
      </c>
      <c r="AJ689">
        <v>0</v>
      </c>
      <c r="AK689">
        <v>8</v>
      </c>
      <c r="AL689" t="s">
        <v>2223</v>
      </c>
      <c r="AM689" t="s">
        <v>2224</v>
      </c>
      <c r="AN689" t="s">
        <v>2225</v>
      </c>
      <c r="AO689" t="s">
        <v>5561</v>
      </c>
      <c r="AP689" t="s">
        <v>74</v>
      </c>
      <c r="AQ689" t="s">
        <v>74</v>
      </c>
      <c r="AR689" t="s">
        <v>5550</v>
      </c>
      <c r="AS689" t="s">
        <v>5562</v>
      </c>
      <c r="AT689" t="s">
        <v>9036</v>
      </c>
      <c r="AU689">
        <v>2001</v>
      </c>
      <c r="AV689">
        <v>448</v>
      </c>
      <c r="AW689" t="s">
        <v>2229</v>
      </c>
      <c r="AX689" t="s">
        <v>74</v>
      </c>
      <c r="AY689" t="s">
        <v>74</v>
      </c>
      <c r="AZ689" t="s">
        <v>74</v>
      </c>
      <c r="BA689" t="s">
        <v>74</v>
      </c>
      <c r="BB689">
        <v>193</v>
      </c>
      <c r="BC689">
        <v>201</v>
      </c>
      <c r="BD689" t="s">
        <v>74</v>
      </c>
      <c r="BE689" t="s">
        <v>9415</v>
      </c>
      <c r="BF689" t="str">
        <f>HYPERLINK("http://dx.doi.org/10.1023/A:1017509623778","http://dx.doi.org/10.1023/A:1017509623778")</f>
        <v>http://dx.doi.org/10.1023/A:1017509623778</v>
      </c>
      <c r="BG689" t="s">
        <v>74</v>
      </c>
      <c r="BH689" t="s">
        <v>74</v>
      </c>
      <c r="BI689">
        <v>9</v>
      </c>
      <c r="BJ689" t="s">
        <v>323</v>
      </c>
      <c r="BK689" t="s">
        <v>88</v>
      </c>
      <c r="BL689" t="s">
        <v>323</v>
      </c>
      <c r="BM689" t="s">
        <v>9403</v>
      </c>
      <c r="BN689" t="s">
        <v>74</v>
      </c>
      <c r="BO689" t="s">
        <v>74</v>
      </c>
      <c r="BP689" t="s">
        <v>74</v>
      </c>
      <c r="BQ689" t="s">
        <v>74</v>
      </c>
      <c r="BR689" t="s">
        <v>91</v>
      </c>
      <c r="BS689" t="s">
        <v>9416</v>
      </c>
      <c r="BT689" t="str">
        <f>HYPERLINK("https%3A%2F%2Fwww.webofscience.com%2Fwos%2Fwoscc%2Ffull-record%2FWOS:000169863400017","View Full Record in Web of Science")</f>
        <v>View Full Record in Web of Science</v>
      </c>
    </row>
    <row r="690" spans="1:72" x14ac:dyDescent="0.15">
      <c r="A690" t="s">
        <v>72</v>
      </c>
      <c r="B690" t="s">
        <v>5223</v>
      </c>
      <c r="C690" t="s">
        <v>74</v>
      </c>
      <c r="D690" t="s">
        <v>74</v>
      </c>
      <c r="E690" t="s">
        <v>74</v>
      </c>
      <c r="F690" t="s">
        <v>5223</v>
      </c>
      <c r="G690" t="s">
        <v>74</v>
      </c>
      <c r="H690" t="s">
        <v>74</v>
      </c>
      <c r="I690" t="s">
        <v>9417</v>
      </c>
      <c r="J690" t="s">
        <v>9418</v>
      </c>
      <c r="K690" t="s">
        <v>74</v>
      </c>
      <c r="L690" t="s">
        <v>74</v>
      </c>
      <c r="M690" t="s">
        <v>77</v>
      </c>
      <c r="N690" t="s">
        <v>120</v>
      </c>
      <c r="O690" t="s">
        <v>74</v>
      </c>
      <c r="P690" t="s">
        <v>74</v>
      </c>
      <c r="Q690" t="s">
        <v>74</v>
      </c>
      <c r="R690" t="s">
        <v>74</v>
      </c>
      <c r="S690" t="s">
        <v>74</v>
      </c>
      <c r="T690" t="s">
        <v>74</v>
      </c>
      <c r="U690" t="s">
        <v>9419</v>
      </c>
      <c r="V690" t="s">
        <v>74</v>
      </c>
      <c r="W690" t="s">
        <v>9420</v>
      </c>
      <c r="X690" t="s">
        <v>4411</v>
      </c>
      <c r="Y690" t="s">
        <v>9421</v>
      </c>
      <c r="Z690" t="s">
        <v>74</v>
      </c>
      <c r="AA690" t="s">
        <v>74</v>
      </c>
      <c r="AB690" t="s">
        <v>74</v>
      </c>
      <c r="AC690" t="s">
        <v>9422</v>
      </c>
      <c r="AD690" t="s">
        <v>1996</v>
      </c>
      <c r="AE690" t="s">
        <v>74</v>
      </c>
      <c r="AF690" t="s">
        <v>74</v>
      </c>
      <c r="AG690">
        <v>12</v>
      </c>
      <c r="AH690">
        <v>2</v>
      </c>
      <c r="AI690">
        <v>2</v>
      </c>
      <c r="AJ690">
        <v>0</v>
      </c>
      <c r="AK690">
        <v>6</v>
      </c>
      <c r="AL690" t="s">
        <v>9423</v>
      </c>
      <c r="AM690" t="s">
        <v>9424</v>
      </c>
      <c r="AN690" t="s">
        <v>9425</v>
      </c>
      <c r="AO690" t="s">
        <v>9426</v>
      </c>
      <c r="AP690" t="s">
        <v>74</v>
      </c>
      <c r="AQ690" t="s">
        <v>74</v>
      </c>
      <c r="AR690" t="s">
        <v>9418</v>
      </c>
      <c r="AS690" t="s">
        <v>9427</v>
      </c>
      <c r="AT690" t="s">
        <v>9036</v>
      </c>
      <c r="AU690">
        <v>2001</v>
      </c>
      <c r="AV690">
        <v>143</v>
      </c>
      <c r="AW690">
        <v>2</v>
      </c>
      <c r="AX690" t="s">
        <v>74</v>
      </c>
      <c r="AY690" t="s">
        <v>74</v>
      </c>
      <c r="AZ690" t="s">
        <v>74</v>
      </c>
      <c r="BA690" t="s">
        <v>74</v>
      </c>
      <c r="BB690">
        <v>304</v>
      </c>
      <c r="BC690">
        <v>306</v>
      </c>
      <c r="BD690" t="s">
        <v>74</v>
      </c>
      <c r="BE690" t="s">
        <v>9428</v>
      </c>
      <c r="BF690" t="str">
        <f>HYPERLINK("http://dx.doi.org/10.1111/j.1474-919X.2001.tb04488.x","http://dx.doi.org/10.1111/j.1474-919X.2001.tb04488.x")</f>
        <v>http://dx.doi.org/10.1111/j.1474-919X.2001.tb04488.x</v>
      </c>
      <c r="BG690" t="s">
        <v>74</v>
      </c>
      <c r="BH690" t="s">
        <v>74</v>
      </c>
      <c r="BI690">
        <v>3</v>
      </c>
      <c r="BJ690" t="s">
        <v>999</v>
      </c>
      <c r="BK690" t="s">
        <v>88</v>
      </c>
      <c r="BL690" t="s">
        <v>408</v>
      </c>
      <c r="BM690" t="s">
        <v>9429</v>
      </c>
      <c r="BN690" t="s">
        <v>74</v>
      </c>
      <c r="BO690" t="s">
        <v>74</v>
      </c>
      <c r="BP690" t="s">
        <v>74</v>
      </c>
      <c r="BQ690" t="s">
        <v>74</v>
      </c>
      <c r="BR690" t="s">
        <v>91</v>
      </c>
      <c r="BS690" t="s">
        <v>9430</v>
      </c>
      <c r="BT690" t="str">
        <f>HYPERLINK("https%3A%2F%2Fwww.webofscience.com%2Fwos%2Fwoscc%2Ffull-record%2FWOS:000167575000014","View Full Record in Web of Science")</f>
        <v>View Full Record in Web of Science</v>
      </c>
    </row>
    <row r="691" spans="1:72" x14ac:dyDescent="0.15">
      <c r="A691" t="s">
        <v>72</v>
      </c>
      <c r="B691" t="s">
        <v>9431</v>
      </c>
      <c r="C691" t="s">
        <v>74</v>
      </c>
      <c r="D691" t="s">
        <v>74</v>
      </c>
      <c r="E691" t="s">
        <v>74</v>
      </c>
      <c r="F691" t="s">
        <v>9431</v>
      </c>
      <c r="G691" t="s">
        <v>74</v>
      </c>
      <c r="H691" t="s">
        <v>74</v>
      </c>
      <c r="I691" t="s">
        <v>9432</v>
      </c>
      <c r="J691" t="s">
        <v>9433</v>
      </c>
      <c r="K691" t="s">
        <v>74</v>
      </c>
      <c r="L691" t="s">
        <v>74</v>
      </c>
      <c r="M691" t="s">
        <v>77</v>
      </c>
      <c r="N691" t="s">
        <v>120</v>
      </c>
      <c r="O691" t="s">
        <v>74</v>
      </c>
      <c r="P691" t="s">
        <v>74</v>
      </c>
      <c r="Q691" t="s">
        <v>74</v>
      </c>
      <c r="R691" t="s">
        <v>74</v>
      </c>
      <c r="S691" t="s">
        <v>74</v>
      </c>
      <c r="T691" t="s">
        <v>9434</v>
      </c>
      <c r="U691" t="s">
        <v>9435</v>
      </c>
      <c r="V691" t="s">
        <v>9436</v>
      </c>
      <c r="W691" t="s">
        <v>9437</v>
      </c>
      <c r="X691" t="s">
        <v>5279</v>
      </c>
      <c r="Y691" t="s">
        <v>9438</v>
      </c>
      <c r="Z691" t="s">
        <v>9439</v>
      </c>
      <c r="AA691" t="s">
        <v>74</v>
      </c>
      <c r="AB691" t="s">
        <v>74</v>
      </c>
      <c r="AC691" t="s">
        <v>74</v>
      </c>
      <c r="AD691" t="s">
        <v>74</v>
      </c>
      <c r="AE691" t="s">
        <v>74</v>
      </c>
      <c r="AF691" t="s">
        <v>74</v>
      </c>
      <c r="AG691">
        <v>42</v>
      </c>
      <c r="AH691">
        <v>256</v>
      </c>
      <c r="AI691">
        <v>295</v>
      </c>
      <c r="AJ691">
        <v>4</v>
      </c>
      <c r="AK691">
        <v>72</v>
      </c>
      <c r="AL691" t="s">
        <v>1247</v>
      </c>
      <c r="AM691" t="s">
        <v>1248</v>
      </c>
      <c r="AN691" t="s">
        <v>1249</v>
      </c>
      <c r="AO691" t="s">
        <v>9440</v>
      </c>
      <c r="AP691" t="s">
        <v>9441</v>
      </c>
      <c r="AQ691" t="s">
        <v>74</v>
      </c>
      <c r="AR691" t="s">
        <v>9442</v>
      </c>
      <c r="AS691" t="s">
        <v>9443</v>
      </c>
      <c r="AT691" t="s">
        <v>9036</v>
      </c>
      <c r="AU691">
        <v>2001</v>
      </c>
      <c r="AV691">
        <v>28</v>
      </c>
      <c r="AW691">
        <v>4</v>
      </c>
      <c r="AX691" t="s">
        <v>74</v>
      </c>
      <c r="AY691" t="s">
        <v>74</v>
      </c>
      <c r="AZ691" t="s">
        <v>74</v>
      </c>
      <c r="BA691" t="s">
        <v>74</v>
      </c>
      <c r="BB691">
        <v>511</v>
      </c>
      <c r="BC691">
        <v>523</v>
      </c>
      <c r="BD691" t="s">
        <v>74</v>
      </c>
      <c r="BE691" t="s">
        <v>74</v>
      </c>
      <c r="BF691" t="s">
        <v>74</v>
      </c>
      <c r="BG691" t="s">
        <v>74</v>
      </c>
      <c r="BH691" t="s">
        <v>74</v>
      </c>
      <c r="BI691">
        <v>13</v>
      </c>
      <c r="BJ691" t="s">
        <v>9444</v>
      </c>
      <c r="BK691" t="s">
        <v>88</v>
      </c>
      <c r="BL691" t="s">
        <v>799</v>
      </c>
      <c r="BM691" t="s">
        <v>9445</v>
      </c>
      <c r="BN691" t="s">
        <v>74</v>
      </c>
      <c r="BO691" t="s">
        <v>74</v>
      </c>
      <c r="BP691" t="s">
        <v>74</v>
      </c>
      <c r="BQ691" t="s">
        <v>74</v>
      </c>
      <c r="BR691" t="s">
        <v>91</v>
      </c>
      <c r="BS691" t="s">
        <v>9446</v>
      </c>
      <c r="BT691" t="str">
        <f>HYPERLINK("https%3A%2F%2Fwww.webofscience.com%2Fwos%2Fwoscc%2Ffull-record%2FWOS:000170006300008","View Full Record in Web of Science")</f>
        <v>View Full Record in Web of Science</v>
      </c>
    </row>
    <row r="692" spans="1:72" x14ac:dyDescent="0.15">
      <c r="A692" t="s">
        <v>72</v>
      </c>
      <c r="B692" t="s">
        <v>9447</v>
      </c>
      <c r="C692" t="s">
        <v>74</v>
      </c>
      <c r="D692" t="s">
        <v>74</v>
      </c>
      <c r="E692" t="s">
        <v>74</v>
      </c>
      <c r="F692" t="s">
        <v>9447</v>
      </c>
      <c r="G692" t="s">
        <v>74</v>
      </c>
      <c r="H692" t="s">
        <v>74</v>
      </c>
      <c r="I692" t="s">
        <v>9448</v>
      </c>
      <c r="J692" t="s">
        <v>9449</v>
      </c>
      <c r="K692" t="s">
        <v>74</v>
      </c>
      <c r="L692" t="s">
        <v>74</v>
      </c>
      <c r="M692" t="s">
        <v>77</v>
      </c>
      <c r="N692" t="s">
        <v>120</v>
      </c>
      <c r="O692" t="s">
        <v>74</v>
      </c>
      <c r="P692" t="s">
        <v>74</v>
      </c>
      <c r="Q692" t="s">
        <v>74</v>
      </c>
      <c r="R692" t="s">
        <v>74</v>
      </c>
      <c r="S692" t="s">
        <v>74</v>
      </c>
      <c r="T692" t="s">
        <v>74</v>
      </c>
      <c r="U692" t="s">
        <v>9450</v>
      </c>
      <c r="V692" t="s">
        <v>9451</v>
      </c>
      <c r="W692" t="s">
        <v>9452</v>
      </c>
      <c r="X692" t="s">
        <v>9453</v>
      </c>
      <c r="Y692" t="s">
        <v>9454</v>
      </c>
      <c r="Z692" t="s">
        <v>74</v>
      </c>
      <c r="AA692" t="s">
        <v>74</v>
      </c>
      <c r="AB692" t="s">
        <v>74</v>
      </c>
      <c r="AC692" t="s">
        <v>74</v>
      </c>
      <c r="AD692" t="s">
        <v>74</v>
      </c>
      <c r="AE692" t="s">
        <v>74</v>
      </c>
      <c r="AF692" t="s">
        <v>74</v>
      </c>
      <c r="AG692">
        <v>20</v>
      </c>
      <c r="AH692">
        <v>43</v>
      </c>
      <c r="AI692">
        <v>53</v>
      </c>
      <c r="AJ692">
        <v>0</v>
      </c>
      <c r="AK692">
        <v>3</v>
      </c>
      <c r="AL692" t="s">
        <v>9455</v>
      </c>
      <c r="AM692" t="s">
        <v>7776</v>
      </c>
      <c r="AN692" t="s">
        <v>9456</v>
      </c>
      <c r="AO692" t="s">
        <v>9457</v>
      </c>
      <c r="AP692" t="s">
        <v>74</v>
      </c>
      <c r="AQ692" t="s">
        <v>74</v>
      </c>
      <c r="AR692" t="s">
        <v>9458</v>
      </c>
      <c r="AS692" t="s">
        <v>9459</v>
      </c>
      <c r="AT692" t="s">
        <v>9036</v>
      </c>
      <c r="AU692">
        <v>2001</v>
      </c>
      <c r="AV692">
        <v>169</v>
      </c>
      <c r="AW692">
        <v>1</v>
      </c>
      <c r="AX692" t="s">
        <v>74</v>
      </c>
      <c r="AY692" t="s">
        <v>74</v>
      </c>
      <c r="AZ692" t="s">
        <v>74</v>
      </c>
      <c r="BA692" t="s">
        <v>74</v>
      </c>
      <c r="BB692">
        <v>195</v>
      </c>
      <c r="BC692">
        <v>203</v>
      </c>
      <c r="BD692" t="s">
        <v>74</v>
      </c>
      <c r="BE692" t="s">
        <v>9460</v>
      </c>
      <c r="BF692" t="str">
        <f>HYPERLINK("http://dx.doi.org/10.1677/joe.0.1690195","http://dx.doi.org/10.1677/joe.0.1690195")</f>
        <v>http://dx.doi.org/10.1677/joe.0.1690195</v>
      </c>
      <c r="BG692" t="s">
        <v>74</v>
      </c>
      <c r="BH692" t="s">
        <v>74</v>
      </c>
      <c r="BI692">
        <v>9</v>
      </c>
      <c r="BJ692" t="s">
        <v>9461</v>
      </c>
      <c r="BK692" t="s">
        <v>88</v>
      </c>
      <c r="BL692" t="s">
        <v>9461</v>
      </c>
      <c r="BM692" t="s">
        <v>9462</v>
      </c>
      <c r="BN692">
        <v>11250661</v>
      </c>
      <c r="BO692" t="s">
        <v>171</v>
      </c>
      <c r="BP692" t="s">
        <v>74</v>
      </c>
      <c r="BQ692" t="s">
        <v>74</v>
      </c>
      <c r="BR692" t="s">
        <v>91</v>
      </c>
      <c r="BS692" t="s">
        <v>9463</v>
      </c>
      <c r="BT692" t="str">
        <f>HYPERLINK("https%3A%2F%2Fwww.webofscience.com%2Fwos%2Fwoscc%2Ffull-record%2FWOS:000167778100021","View Full Record in Web of Science")</f>
        <v>View Full Record in Web of Science</v>
      </c>
    </row>
    <row r="693" spans="1:72" x14ac:dyDescent="0.15">
      <c r="A693" t="s">
        <v>72</v>
      </c>
      <c r="B693" t="s">
        <v>9464</v>
      </c>
      <c r="C693" t="s">
        <v>74</v>
      </c>
      <c r="D693" t="s">
        <v>74</v>
      </c>
      <c r="E693" t="s">
        <v>74</v>
      </c>
      <c r="F693" t="s">
        <v>9464</v>
      </c>
      <c r="G693" t="s">
        <v>74</v>
      </c>
      <c r="H693" t="s">
        <v>74</v>
      </c>
      <c r="I693" t="s">
        <v>9465</v>
      </c>
      <c r="J693" t="s">
        <v>1217</v>
      </c>
      <c r="K693" t="s">
        <v>74</v>
      </c>
      <c r="L693" t="s">
        <v>74</v>
      </c>
      <c r="M693" t="s">
        <v>77</v>
      </c>
      <c r="N693" t="s">
        <v>120</v>
      </c>
      <c r="O693" t="s">
        <v>74</v>
      </c>
      <c r="P693" t="s">
        <v>74</v>
      </c>
      <c r="Q693" t="s">
        <v>74</v>
      </c>
      <c r="R693" t="s">
        <v>74</v>
      </c>
      <c r="S693" t="s">
        <v>74</v>
      </c>
      <c r="T693" t="s">
        <v>9466</v>
      </c>
      <c r="U693" t="s">
        <v>9467</v>
      </c>
      <c r="V693" t="s">
        <v>9468</v>
      </c>
      <c r="W693" t="s">
        <v>9469</v>
      </c>
      <c r="X693" t="s">
        <v>9470</v>
      </c>
      <c r="Y693" t="s">
        <v>9471</v>
      </c>
      <c r="Z693" t="s">
        <v>74</v>
      </c>
      <c r="AA693" t="s">
        <v>74</v>
      </c>
      <c r="AB693" t="s">
        <v>74</v>
      </c>
      <c r="AC693" t="s">
        <v>74</v>
      </c>
      <c r="AD693" t="s">
        <v>74</v>
      </c>
      <c r="AE693" t="s">
        <v>74</v>
      </c>
      <c r="AF693" t="s">
        <v>74</v>
      </c>
      <c r="AG693">
        <v>61</v>
      </c>
      <c r="AH693">
        <v>10</v>
      </c>
      <c r="AI693">
        <v>11</v>
      </c>
      <c r="AJ693">
        <v>0</v>
      </c>
      <c r="AK693">
        <v>8</v>
      </c>
      <c r="AL693" t="s">
        <v>1225</v>
      </c>
      <c r="AM693" t="s">
        <v>1226</v>
      </c>
      <c r="AN693" t="s">
        <v>1227</v>
      </c>
      <c r="AO693" t="s">
        <v>1228</v>
      </c>
      <c r="AP693" t="s">
        <v>74</v>
      </c>
      <c r="AQ693" t="s">
        <v>74</v>
      </c>
      <c r="AR693" t="s">
        <v>1229</v>
      </c>
      <c r="AS693" t="s">
        <v>1230</v>
      </c>
      <c r="AT693" t="s">
        <v>9036</v>
      </c>
      <c r="AU693">
        <v>2001</v>
      </c>
      <c r="AV693">
        <v>204</v>
      </c>
      <c r="AW693">
        <v>8</v>
      </c>
      <c r="AX693" t="s">
        <v>74</v>
      </c>
      <c r="AY693" t="s">
        <v>74</v>
      </c>
      <c r="AZ693" t="s">
        <v>74</v>
      </c>
      <c r="BA693" t="s">
        <v>74</v>
      </c>
      <c r="BB693">
        <v>1445</v>
      </c>
      <c r="BC693">
        <v>1457</v>
      </c>
      <c r="BD693" t="s">
        <v>74</v>
      </c>
      <c r="BE693" t="s">
        <v>74</v>
      </c>
      <c r="BF693" t="s">
        <v>74</v>
      </c>
      <c r="BG693" t="s">
        <v>74</v>
      </c>
      <c r="BH693" t="s">
        <v>74</v>
      </c>
      <c r="BI693">
        <v>13</v>
      </c>
      <c r="BJ693" t="s">
        <v>1231</v>
      </c>
      <c r="BK693" t="s">
        <v>88</v>
      </c>
      <c r="BL693" t="s">
        <v>1232</v>
      </c>
      <c r="BM693" t="s">
        <v>9472</v>
      </c>
      <c r="BN693">
        <v>11273806</v>
      </c>
      <c r="BO693" t="s">
        <v>74</v>
      </c>
      <c r="BP693" t="s">
        <v>74</v>
      </c>
      <c r="BQ693" t="s">
        <v>74</v>
      </c>
      <c r="BR693" t="s">
        <v>91</v>
      </c>
      <c r="BS693" t="s">
        <v>9473</v>
      </c>
      <c r="BT693" t="str">
        <f>HYPERLINK("https%3A%2F%2Fwww.webofscience.com%2Fwos%2Fwoscc%2Ffull-record%2FWOS:000168487200008","View Full Record in Web of Science")</f>
        <v>View Full Record in Web of Science</v>
      </c>
    </row>
    <row r="694" spans="1:72" x14ac:dyDescent="0.15">
      <c r="A694" t="s">
        <v>72</v>
      </c>
      <c r="B694" t="s">
        <v>9474</v>
      </c>
      <c r="C694" t="s">
        <v>74</v>
      </c>
      <c r="D694" t="s">
        <v>74</v>
      </c>
      <c r="E694" t="s">
        <v>74</v>
      </c>
      <c r="F694" t="s">
        <v>9474</v>
      </c>
      <c r="G694" t="s">
        <v>74</v>
      </c>
      <c r="H694" t="s">
        <v>74</v>
      </c>
      <c r="I694" t="s">
        <v>9475</v>
      </c>
      <c r="J694" t="s">
        <v>1217</v>
      </c>
      <c r="K694" t="s">
        <v>74</v>
      </c>
      <c r="L694" t="s">
        <v>74</v>
      </c>
      <c r="M694" t="s">
        <v>77</v>
      </c>
      <c r="N694" t="s">
        <v>120</v>
      </c>
      <c r="O694" t="s">
        <v>74</v>
      </c>
      <c r="P694" t="s">
        <v>74</v>
      </c>
      <c r="Q694" t="s">
        <v>74</v>
      </c>
      <c r="R694" t="s">
        <v>74</v>
      </c>
      <c r="S694" t="s">
        <v>74</v>
      </c>
      <c r="T694" t="s">
        <v>9476</v>
      </c>
      <c r="U694" t="s">
        <v>9477</v>
      </c>
      <c r="V694" t="s">
        <v>9478</v>
      </c>
      <c r="W694" t="s">
        <v>9479</v>
      </c>
      <c r="X694" t="s">
        <v>5517</v>
      </c>
      <c r="Y694" t="s">
        <v>9480</v>
      </c>
      <c r="Z694" t="s">
        <v>74</v>
      </c>
      <c r="AA694" t="s">
        <v>9481</v>
      </c>
      <c r="AB694" t="s">
        <v>9482</v>
      </c>
      <c r="AC694" t="s">
        <v>74</v>
      </c>
      <c r="AD694" t="s">
        <v>74</v>
      </c>
      <c r="AE694" t="s">
        <v>74</v>
      </c>
      <c r="AF694" t="s">
        <v>74</v>
      </c>
      <c r="AG694">
        <v>39</v>
      </c>
      <c r="AH694">
        <v>40</v>
      </c>
      <c r="AI694">
        <v>44</v>
      </c>
      <c r="AJ694">
        <v>0</v>
      </c>
      <c r="AK694">
        <v>7</v>
      </c>
      <c r="AL694" t="s">
        <v>1225</v>
      </c>
      <c r="AM694" t="s">
        <v>1226</v>
      </c>
      <c r="AN694" t="s">
        <v>1227</v>
      </c>
      <c r="AO694" t="s">
        <v>1228</v>
      </c>
      <c r="AP694" t="s">
        <v>74</v>
      </c>
      <c r="AQ694" t="s">
        <v>74</v>
      </c>
      <c r="AR694" t="s">
        <v>1229</v>
      </c>
      <c r="AS694" t="s">
        <v>1230</v>
      </c>
      <c r="AT694" t="s">
        <v>9036</v>
      </c>
      <c r="AU694">
        <v>2001</v>
      </c>
      <c r="AV694">
        <v>204</v>
      </c>
      <c r="AW694">
        <v>8</v>
      </c>
      <c r="AX694" t="s">
        <v>74</v>
      </c>
      <c r="AY694" t="s">
        <v>74</v>
      </c>
      <c r="AZ694" t="s">
        <v>74</v>
      </c>
      <c r="BA694" t="s">
        <v>74</v>
      </c>
      <c r="BB694">
        <v>1485</v>
      </c>
      <c r="BC694">
        <v>1489</v>
      </c>
      <c r="BD694" t="s">
        <v>74</v>
      </c>
      <c r="BE694" t="s">
        <v>74</v>
      </c>
      <c r="BF694" t="s">
        <v>74</v>
      </c>
      <c r="BG694" t="s">
        <v>74</v>
      </c>
      <c r="BH694" t="s">
        <v>74</v>
      </c>
      <c r="BI694">
        <v>5</v>
      </c>
      <c r="BJ694" t="s">
        <v>1231</v>
      </c>
      <c r="BK694" t="s">
        <v>88</v>
      </c>
      <c r="BL694" t="s">
        <v>1232</v>
      </c>
      <c r="BM694" t="s">
        <v>9472</v>
      </c>
      <c r="BN694">
        <v>11273809</v>
      </c>
      <c r="BO694" t="s">
        <v>74</v>
      </c>
      <c r="BP694" t="s">
        <v>74</v>
      </c>
      <c r="BQ694" t="s">
        <v>74</v>
      </c>
      <c r="BR694" t="s">
        <v>91</v>
      </c>
      <c r="BS694" t="s">
        <v>9483</v>
      </c>
      <c r="BT694" t="str">
        <f>HYPERLINK("https%3A%2F%2Fwww.webofscience.com%2Fwos%2Fwoscc%2Ffull-record%2FWOS:000168487200011","View Full Record in Web of Science")</f>
        <v>View Full Record in Web of Science</v>
      </c>
    </row>
    <row r="695" spans="1:72" x14ac:dyDescent="0.15">
      <c r="A695" t="s">
        <v>72</v>
      </c>
      <c r="B695" t="s">
        <v>9484</v>
      </c>
      <c r="C695" t="s">
        <v>74</v>
      </c>
      <c r="D695" t="s">
        <v>74</v>
      </c>
      <c r="E695" t="s">
        <v>74</v>
      </c>
      <c r="F695" t="s">
        <v>9484</v>
      </c>
      <c r="G695" t="s">
        <v>74</v>
      </c>
      <c r="H695" t="s">
        <v>74</v>
      </c>
      <c r="I695" t="s">
        <v>9485</v>
      </c>
      <c r="J695" t="s">
        <v>1237</v>
      </c>
      <c r="K695" t="s">
        <v>74</v>
      </c>
      <c r="L695" t="s">
        <v>74</v>
      </c>
      <c r="M695" t="s">
        <v>77</v>
      </c>
      <c r="N695" t="s">
        <v>120</v>
      </c>
      <c r="O695" t="s">
        <v>74</v>
      </c>
      <c r="P695" t="s">
        <v>74</v>
      </c>
      <c r="Q695" t="s">
        <v>74</v>
      </c>
      <c r="R695" t="s">
        <v>74</v>
      </c>
      <c r="S695" t="s">
        <v>74</v>
      </c>
      <c r="T695" t="s">
        <v>9486</v>
      </c>
      <c r="U695" t="s">
        <v>9487</v>
      </c>
      <c r="V695" t="s">
        <v>9488</v>
      </c>
      <c r="W695" t="s">
        <v>9489</v>
      </c>
      <c r="X695" t="s">
        <v>9490</v>
      </c>
      <c r="Y695" t="s">
        <v>9491</v>
      </c>
      <c r="Z695" t="s">
        <v>74</v>
      </c>
      <c r="AA695" t="s">
        <v>74</v>
      </c>
      <c r="AB695" t="s">
        <v>74</v>
      </c>
      <c r="AC695" t="s">
        <v>74</v>
      </c>
      <c r="AD695" t="s">
        <v>74</v>
      </c>
      <c r="AE695" t="s">
        <v>74</v>
      </c>
      <c r="AF695" t="s">
        <v>74</v>
      </c>
      <c r="AG695">
        <v>14</v>
      </c>
      <c r="AH695">
        <v>11</v>
      </c>
      <c r="AI695">
        <v>12</v>
      </c>
      <c r="AJ695">
        <v>1</v>
      </c>
      <c r="AK695">
        <v>9</v>
      </c>
      <c r="AL695" t="s">
        <v>1267</v>
      </c>
      <c r="AM695" t="s">
        <v>683</v>
      </c>
      <c r="AN695" t="s">
        <v>1268</v>
      </c>
      <c r="AO695" t="s">
        <v>1250</v>
      </c>
      <c r="AP695" t="s">
        <v>74</v>
      </c>
      <c r="AQ695" t="s">
        <v>74</v>
      </c>
      <c r="AR695" t="s">
        <v>1252</v>
      </c>
      <c r="AS695" t="s">
        <v>1253</v>
      </c>
      <c r="AT695" t="s">
        <v>9036</v>
      </c>
      <c r="AU695">
        <v>2001</v>
      </c>
      <c r="AV695">
        <v>58</v>
      </c>
      <c r="AW695">
        <v>4</v>
      </c>
      <c r="AX695" t="s">
        <v>74</v>
      </c>
      <c r="AY695" t="s">
        <v>74</v>
      </c>
      <c r="AZ695" t="s">
        <v>74</v>
      </c>
      <c r="BA695" t="s">
        <v>74</v>
      </c>
      <c r="BB695">
        <v>1190</v>
      </c>
      <c r="BC695">
        <v>1194</v>
      </c>
      <c r="BD695" t="s">
        <v>74</v>
      </c>
      <c r="BE695" t="s">
        <v>9492</v>
      </c>
      <c r="BF695" t="str">
        <f>HYPERLINK("http://dx.doi.org/10.1111/j.1095-8649.2001.tb00565.x","http://dx.doi.org/10.1111/j.1095-8649.2001.tb00565.x")</f>
        <v>http://dx.doi.org/10.1111/j.1095-8649.2001.tb00565.x</v>
      </c>
      <c r="BG695" t="s">
        <v>74</v>
      </c>
      <c r="BH695" t="s">
        <v>74</v>
      </c>
      <c r="BI695">
        <v>5</v>
      </c>
      <c r="BJ695" t="s">
        <v>1255</v>
      </c>
      <c r="BK695" t="s">
        <v>88</v>
      </c>
      <c r="BL695" t="s">
        <v>1255</v>
      </c>
      <c r="BM695" t="s">
        <v>9493</v>
      </c>
      <c r="BN695" t="s">
        <v>74</v>
      </c>
      <c r="BO695" t="s">
        <v>74</v>
      </c>
      <c r="BP695" t="s">
        <v>74</v>
      </c>
      <c r="BQ695" t="s">
        <v>74</v>
      </c>
      <c r="BR695" t="s">
        <v>91</v>
      </c>
      <c r="BS695" t="s">
        <v>9494</v>
      </c>
      <c r="BT695" t="str">
        <f>HYPERLINK("https%3A%2F%2Fwww.webofscience.com%2Fwos%2Fwoscc%2Ffull-record%2FWOS:000167978800023","View Full Record in Web of Science")</f>
        <v>View Full Record in Web of Science</v>
      </c>
    </row>
    <row r="696" spans="1:72" x14ac:dyDescent="0.15">
      <c r="A696" t="s">
        <v>72</v>
      </c>
      <c r="B696" t="s">
        <v>9495</v>
      </c>
      <c r="C696" t="s">
        <v>74</v>
      </c>
      <c r="D696" t="s">
        <v>74</v>
      </c>
      <c r="E696" t="s">
        <v>74</v>
      </c>
      <c r="F696" t="s">
        <v>9495</v>
      </c>
      <c r="G696" t="s">
        <v>74</v>
      </c>
      <c r="H696" t="s">
        <v>74</v>
      </c>
      <c r="I696" t="s">
        <v>9496</v>
      </c>
      <c r="J696" t="s">
        <v>9497</v>
      </c>
      <c r="K696" t="s">
        <v>74</v>
      </c>
      <c r="L696" t="s">
        <v>74</v>
      </c>
      <c r="M696" t="s">
        <v>77</v>
      </c>
      <c r="N696" t="s">
        <v>120</v>
      </c>
      <c r="O696" t="s">
        <v>74</v>
      </c>
      <c r="P696" t="s">
        <v>74</v>
      </c>
      <c r="Q696" t="s">
        <v>74</v>
      </c>
      <c r="R696" t="s">
        <v>74</v>
      </c>
      <c r="S696" t="s">
        <v>74</v>
      </c>
      <c r="T696" t="s">
        <v>9498</v>
      </c>
      <c r="U696" t="s">
        <v>9499</v>
      </c>
      <c r="V696" t="s">
        <v>9500</v>
      </c>
      <c r="W696" t="s">
        <v>9501</v>
      </c>
      <c r="X696" t="s">
        <v>9502</v>
      </c>
      <c r="Y696" t="s">
        <v>9503</v>
      </c>
      <c r="Z696" t="s">
        <v>9504</v>
      </c>
      <c r="AA696" t="s">
        <v>9505</v>
      </c>
      <c r="AB696" t="s">
        <v>9506</v>
      </c>
      <c r="AC696" t="s">
        <v>74</v>
      </c>
      <c r="AD696" t="s">
        <v>74</v>
      </c>
      <c r="AE696" t="s">
        <v>74</v>
      </c>
      <c r="AF696" t="s">
        <v>74</v>
      </c>
      <c r="AG696">
        <v>44</v>
      </c>
      <c r="AH696">
        <v>14</v>
      </c>
      <c r="AI696">
        <v>14</v>
      </c>
      <c r="AJ696">
        <v>1</v>
      </c>
      <c r="AK696">
        <v>4</v>
      </c>
      <c r="AL696" t="s">
        <v>1132</v>
      </c>
      <c r="AM696" t="s">
        <v>1133</v>
      </c>
      <c r="AN696" t="s">
        <v>1134</v>
      </c>
      <c r="AO696" t="s">
        <v>9507</v>
      </c>
      <c r="AP696" t="s">
        <v>9508</v>
      </c>
      <c r="AQ696" t="s">
        <v>74</v>
      </c>
      <c r="AR696" t="s">
        <v>9509</v>
      </c>
      <c r="AS696" t="s">
        <v>9510</v>
      </c>
      <c r="AT696" t="s">
        <v>9036</v>
      </c>
      <c r="AU696">
        <v>2001</v>
      </c>
      <c r="AV696">
        <v>77</v>
      </c>
      <c r="AW696">
        <v>3</v>
      </c>
      <c r="AX696" t="s">
        <v>74</v>
      </c>
      <c r="AY696" t="s">
        <v>74</v>
      </c>
      <c r="AZ696" t="s">
        <v>74</v>
      </c>
      <c r="BA696" t="s">
        <v>74</v>
      </c>
      <c r="BB696">
        <v>180</v>
      </c>
      <c r="BC696">
        <v>185</v>
      </c>
      <c r="BD696" t="s">
        <v>74</v>
      </c>
      <c r="BE696" t="s">
        <v>9511</v>
      </c>
      <c r="BF696" t="str">
        <f>HYPERLINK("http://dx.doi.org/10.1006/jipa.2001.5016","http://dx.doi.org/10.1006/jipa.2001.5016")</f>
        <v>http://dx.doi.org/10.1006/jipa.2001.5016</v>
      </c>
      <c r="BG696" t="s">
        <v>74</v>
      </c>
      <c r="BH696" t="s">
        <v>74</v>
      </c>
      <c r="BI696">
        <v>6</v>
      </c>
      <c r="BJ696" t="s">
        <v>408</v>
      </c>
      <c r="BK696" t="s">
        <v>88</v>
      </c>
      <c r="BL696" t="s">
        <v>408</v>
      </c>
      <c r="BM696" t="s">
        <v>9512</v>
      </c>
      <c r="BN696">
        <v>11356053</v>
      </c>
      <c r="BO696" t="s">
        <v>74</v>
      </c>
      <c r="BP696" t="s">
        <v>74</v>
      </c>
      <c r="BQ696" t="s">
        <v>74</v>
      </c>
      <c r="BR696" t="s">
        <v>91</v>
      </c>
      <c r="BS696" t="s">
        <v>9513</v>
      </c>
      <c r="BT696" t="str">
        <f>HYPERLINK("https%3A%2F%2Fwww.webofscience.com%2Fwos%2Fwoscc%2Ffull-record%2FWOS:000169033400005","View Full Record in Web of Science")</f>
        <v>View Full Record in Web of Science</v>
      </c>
    </row>
    <row r="697" spans="1:72" x14ac:dyDescent="0.15">
      <c r="A697" t="s">
        <v>72</v>
      </c>
      <c r="B697" t="s">
        <v>9514</v>
      </c>
      <c r="C697" t="s">
        <v>74</v>
      </c>
      <c r="D697" t="s">
        <v>74</v>
      </c>
      <c r="E697" t="s">
        <v>74</v>
      </c>
      <c r="F697" t="s">
        <v>9514</v>
      </c>
      <c r="G697" t="s">
        <v>74</v>
      </c>
      <c r="H697" t="s">
        <v>74</v>
      </c>
      <c r="I697" t="s">
        <v>9515</v>
      </c>
      <c r="J697" t="s">
        <v>5160</v>
      </c>
      <c r="K697" t="s">
        <v>74</v>
      </c>
      <c r="L697" t="s">
        <v>74</v>
      </c>
      <c r="M697" t="s">
        <v>77</v>
      </c>
      <c r="N697" t="s">
        <v>120</v>
      </c>
      <c r="O697" t="s">
        <v>74</v>
      </c>
      <c r="P697" t="s">
        <v>74</v>
      </c>
      <c r="Q697" t="s">
        <v>74</v>
      </c>
      <c r="R697" t="s">
        <v>74</v>
      </c>
      <c r="S697" t="s">
        <v>74</v>
      </c>
      <c r="T697" t="s">
        <v>9516</v>
      </c>
      <c r="U697" t="s">
        <v>9517</v>
      </c>
      <c r="V697" t="s">
        <v>9518</v>
      </c>
      <c r="W697" t="s">
        <v>9519</v>
      </c>
      <c r="X697" t="s">
        <v>9520</v>
      </c>
      <c r="Y697" t="s">
        <v>9521</v>
      </c>
      <c r="Z697" t="s">
        <v>74</v>
      </c>
      <c r="AA697" t="s">
        <v>9522</v>
      </c>
      <c r="AB697" t="s">
        <v>9523</v>
      </c>
      <c r="AC697" t="s">
        <v>74</v>
      </c>
      <c r="AD697" t="s">
        <v>74</v>
      </c>
      <c r="AE697" t="s">
        <v>74</v>
      </c>
      <c r="AF697" t="s">
        <v>74</v>
      </c>
      <c r="AG697">
        <v>67</v>
      </c>
      <c r="AH697">
        <v>53</v>
      </c>
      <c r="AI697">
        <v>54</v>
      </c>
      <c r="AJ697">
        <v>0</v>
      </c>
      <c r="AK697">
        <v>12</v>
      </c>
      <c r="AL697" t="s">
        <v>488</v>
      </c>
      <c r="AM697" t="s">
        <v>350</v>
      </c>
      <c r="AN697" t="s">
        <v>489</v>
      </c>
      <c r="AO697" t="s">
        <v>5170</v>
      </c>
      <c r="AP697" t="s">
        <v>74</v>
      </c>
      <c r="AQ697" t="s">
        <v>74</v>
      </c>
      <c r="AR697" t="s">
        <v>5172</v>
      </c>
      <c r="AS697" t="s">
        <v>5173</v>
      </c>
      <c r="AT697" t="s">
        <v>9036</v>
      </c>
      <c r="AU697">
        <v>2001</v>
      </c>
      <c r="AV697">
        <v>28</v>
      </c>
      <c r="AW697" t="s">
        <v>451</v>
      </c>
      <c r="AX697" t="s">
        <v>74</v>
      </c>
      <c r="AY697" t="s">
        <v>74</v>
      </c>
      <c r="AZ697" t="s">
        <v>74</v>
      </c>
      <c r="BA697" t="s">
        <v>74</v>
      </c>
      <c r="BB697">
        <v>183</v>
      </c>
      <c r="BC697">
        <v>201</v>
      </c>
      <c r="BD697" t="s">
        <v>74</v>
      </c>
      <c r="BE697" t="s">
        <v>9524</v>
      </c>
      <c r="BF697" t="str">
        <f>HYPERLINK("http://dx.doi.org/10.1016/S0924-7963(01)00003-3","http://dx.doi.org/10.1016/S0924-7963(01)00003-3")</f>
        <v>http://dx.doi.org/10.1016/S0924-7963(01)00003-3</v>
      </c>
      <c r="BG697" t="s">
        <v>74</v>
      </c>
      <c r="BH697" t="s">
        <v>74</v>
      </c>
      <c r="BI697">
        <v>19</v>
      </c>
      <c r="BJ697" t="s">
        <v>5175</v>
      </c>
      <c r="BK697" t="s">
        <v>88</v>
      </c>
      <c r="BL697" t="s">
        <v>5176</v>
      </c>
      <c r="BM697" t="s">
        <v>9525</v>
      </c>
      <c r="BN697" t="s">
        <v>74</v>
      </c>
      <c r="BO697" t="s">
        <v>1685</v>
      </c>
      <c r="BP697" t="s">
        <v>74</v>
      </c>
      <c r="BQ697" t="s">
        <v>74</v>
      </c>
      <c r="BR697" t="s">
        <v>91</v>
      </c>
      <c r="BS697" t="s">
        <v>9526</v>
      </c>
      <c r="BT697" t="str">
        <f>HYPERLINK("https%3A%2F%2Fwww.webofscience.com%2Fwos%2Fwoscc%2Ffull-record%2FWOS:000169713900002","View Full Record in Web of Science")</f>
        <v>View Full Record in Web of Science</v>
      </c>
    </row>
    <row r="698" spans="1:72" x14ac:dyDescent="0.15">
      <c r="A698" t="s">
        <v>72</v>
      </c>
      <c r="B698" t="s">
        <v>9527</v>
      </c>
      <c r="C698" t="s">
        <v>74</v>
      </c>
      <c r="D698" t="s">
        <v>74</v>
      </c>
      <c r="E698" t="s">
        <v>74</v>
      </c>
      <c r="F698" t="s">
        <v>9527</v>
      </c>
      <c r="G698" t="s">
        <v>74</v>
      </c>
      <c r="H698" t="s">
        <v>74</v>
      </c>
      <c r="I698" t="s">
        <v>9528</v>
      </c>
      <c r="J698" t="s">
        <v>8454</v>
      </c>
      <c r="K698" t="s">
        <v>74</v>
      </c>
      <c r="L698" t="s">
        <v>74</v>
      </c>
      <c r="M698" t="s">
        <v>77</v>
      </c>
      <c r="N698" t="s">
        <v>120</v>
      </c>
      <c r="O698" t="s">
        <v>74</v>
      </c>
      <c r="P698" t="s">
        <v>74</v>
      </c>
      <c r="Q698" t="s">
        <v>74</v>
      </c>
      <c r="R698" t="s">
        <v>74</v>
      </c>
      <c r="S698" t="s">
        <v>74</v>
      </c>
      <c r="T698" t="s">
        <v>9529</v>
      </c>
      <c r="U698" t="s">
        <v>9530</v>
      </c>
      <c r="V698" t="s">
        <v>9531</v>
      </c>
      <c r="W698" t="s">
        <v>9532</v>
      </c>
      <c r="X698" t="s">
        <v>9533</v>
      </c>
      <c r="Y698" t="s">
        <v>9534</v>
      </c>
      <c r="Z698" t="s">
        <v>74</v>
      </c>
      <c r="AA698" t="s">
        <v>9535</v>
      </c>
      <c r="AB698" t="s">
        <v>9536</v>
      </c>
      <c r="AC698" t="s">
        <v>74</v>
      </c>
      <c r="AD698" t="s">
        <v>74</v>
      </c>
      <c r="AE698" t="s">
        <v>74</v>
      </c>
      <c r="AF698" t="s">
        <v>74</v>
      </c>
      <c r="AG698">
        <v>64</v>
      </c>
      <c r="AH698">
        <v>14</v>
      </c>
      <c r="AI698">
        <v>19</v>
      </c>
      <c r="AJ698">
        <v>0</v>
      </c>
      <c r="AK698">
        <v>9</v>
      </c>
      <c r="AL698" t="s">
        <v>248</v>
      </c>
      <c r="AM698" t="s">
        <v>2224</v>
      </c>
      <c r="AN698" t="s">
        <v>5560</v>
      </c>
      <c r="AO698" t="s">
        <v>8461</v>
      </c>
      <c r="AP698" t="s">
        <v>74</v>
      </c>
      <c r="AQ698" t="s">
        <v>74</v>
      </c>
      <c r="AR698" t="s">
        <v>8462</v>
      </c>
      <c r="AS698" t="s">
        <v>8463</v>
      </c>
      <c r="AT698" t="s">
        <v>9036</v>
      </c>
      <c r="AU698">
        <v>2001</v>
      </c>
      <c r="AV698">
        <v>25</v>
      </c>
      <c r="AW698">
        <v>3</v>
      </c>
      <c r="AX698" t="s">
        <v>74</v>
      </c>
      <c r="AY698" t="s">
        <v>74</v>
      </c>
      <c r="AZ698" t="s">
        <v>74</v>
      </c>
      <c r="BA698" t="s">
        <v>74</v>
      </c>
      <c r="BB698">
        <v>375</v>
      </c>
      <c r="BC698">
        <v>392</v>
      </c>
      <c r="BD698" t="s">
        <v>74</v>
      </c>
      <c r="BE698" t="s">
        <v>9537</v>
      </c>
      <c r="BF698" t="str">
        <f>HYPERLINK("http://dx.doi.org/10.1023/A:1011193401627","http://dx.doi.org/10.1023/A:1011193401627")</f>
        <v>http://dx.doi.org/10.1023/A:1011193401627</v>
      </c>
      <c r="BG698" t="s">
        <v>74</v>
      </c>
      <c r="BH698" t="s">
        <v>74</v>
      </c>
      <c r="BI698">
        <v>18</v>
      </c>
      <c r="BJ698" t="s">
        <v>8465</v>
      </c>
      <c r="BK698" t="s">
        <v>88</v>
      </c>
      <c r="BL698" t="s">
        <v>8466</v>
      </c>
      <c r="BM698" t="s">
        <v>9538</v>
      </c>
      <c r="BN698" t="s">
        <v>74</v>
      </c>
      <c r="BO698" t="s">
        <v>74</v>
      </c>
      <c r="BP698" t="s">
        <v>74</v>
      </c>
      <c r="BQ698" t="s">
        <v>74</v>
      </c>
      <c r="BR698" t="s">
        <v>91</v>
      </c>
      <c r="BS698" t="s">
        <v>9539</v>
      </c>
      <c r="BT698" t="str">
        <f>HYPERLINK("https%3A%2F%2Fwww.webofscience.com%2Fwos%2Fwoscc%2Ffull-record%2FWOS:000167852600009","View Full Record in Web of Science")</f>
        <v>View Full Record in Web of Science</v>
      </c>
    </row>
    <row r="699" spans="1:72" x14ac:dyDescent="0.15">
      <c r="A699" t="s">
        <v>72</v>
      </c>
      <c r="B699" t="s">
        <v>9540</v>
      </c>
      <c r="C699" t="s">
        <v>74</v>
      </c>
      <c r="D699" t="s">
        <v>74</v>
      </c>
      <c r="E699" t="s">
        <v>74</v>
      </c>
      <c r="F699" t="s">
        <v>9540</v>
      </c>
      <c r="G699" t="s">
        <v>74</v>
      </c>
      <c r="H699" t="s">
        <v>74</v>
      </c>
      <c r="I699" t="s">
        <v>9541</v>
      </c>
      <c r="J699" t="s">
        <v>5181</v>
      </c>
      <c r="K699" t="s">
        <v>74</v>
      </c>
      <c r="L699" t="s">
        <v>74</v>
      </c>
      <c r="M699" t="s">
        <v>77</v>
      </c>
      <c r="N699" t="s">
        <v>120</v>
      </c>
      <c r="O699" t="s">
        <v>74</v>
      </c>
      <c r="P699" t="s">
        <v>74</v>
      </c>
      <c r="Q699" t="s">
        <v>74</v>
      </c>
      <c r="R699" t="s">
        <v>74</v>
      </c>
      <c r="S699" t="s">
        <v>74</v>
      </c>
      <c r="T699" t="s">
        <v>9542</v>
      </c>
      <c r="U699" t="s">
        <v>9543</v>
      </c>
      <c r="V699" t="s">
        <v>9544</v>
      </c>
      <c r="W699" t="s">
        <v>9545</v>
      </c>
      <c r="X699" t="s">
        <v>9546</v>
      </c>
      <c r="Y699" t="s">
        <v>9547</v>
      </c>
      <c r="Z699" t="s">
        <v>74</v>
      </c>
      <c r="AA699" t="s">
        <v>3854</v>
      </c>
      <c r="AB699" t="s">
        <v>5507</v>
      </c>
      <c r="AC699" t="s">
        <v>74</v>
      </c>
      <c r="AD699" t="s">
        <v>74</v>
      </c>
      <c r="AE699" t="s">
        <v>74</v>
      </c>
      <c r="AF699" t="s">
        <v>74</v>
      </c>
      <c r="AG699">
        <v>38</v>
      </c>
      <c r="AH699">
        <v>83</v>
      </c>
      <c r="AI699">
        <v>93</v>
      </c>
      <c r="AJ699">
        <v>1</v>
      </c>
      <c r="AK699">
        <v>18</v>
      </c>
      <c r="AL699" t="s">
        <v>5208</v>
      </c>
      <c r="AM699" t="s">
        <v>5209</v>
      </c>
      <c r="AN699" t="s">
        <v>5210</v>
      </c>
      <c r="AO699" t="s">
        <v>5191</v>
      </c>
      <c r="AP699" t="s">
        <v>74</v>
      </c>
      <c r="AQ699" t="s">
        <v>74</v>
      </c>
      <c r="AR699" t="s">
        <v>5193</v>
      </c>
      <c r="AS699" t="s">
        <v>5194</v>
      </c>
      <c r="AT699" t="s">
        <v>9036</v>
      </c>
      <c r="AU699">
        <v>2001</v>
      </c>
      <c r="AV699">
        <v>37</v>
      </c>
      <c r="AW699">
        <v>2</v>
      </c>
      <c r="AX699" t="s">
        <v>74</v>
      </c>
      <c r="AY699" t="s">
        <v>74</v>
      </c>
      <c r="AZ699" t="s">
        <v>74</v>
      </c>
      <c r="BA699" t="s">
        <v>74</v>
      </c>
      <c r="BB699">
        <v>200</v>
      </c>
      <c r="BC699">
        <v>208</v>
      </c>
      <c r="BD699" t="s">
        <v>74</v>
      </c>
      <c r="BE699" t="s">
        <v>9548</v>
      </c>
      <c r="BF699" t="str">
        <f>HYPERLINK("http://dx.doi.org/10.1046/j.1529-8817.2001.037002200.x","http://dx.doi.org/10.1046/j.1529-8817.2001.037002200.x")</f>
        <v>http://dx.doi.org/10.1046/j.1529-8817.2001.037002200.x</v>
      </c>
      <c r="BG699" t="s">
        <v>74</v>
      </c>
      <c r="BH699" t="s">
        <v>74</v>
      </c>
      <c r="BI699">
        <v>9</v>
      </c>
      <c r="BJ699" t="s">
        <v>1035</v>
      </c>
      <c r="BK699" t="s">
        <v>88</v>
      </c>
      <c r="BL699" t="s">
        <v>1035</v>
      </c>
      <c r="BM699" t="s">
        <v>9549</v>
      </c>
      <c r="BN699" t="s">
        <v>74</v>
      </c>
      <c r="BO699" t="s">
        <v>74</v>
      </c>
      <c r="BP699" t="s">
        <v>74</v>
      </c>
      <c r="BQ699" t="s">
        <v>74</v>
      </c>
      <c r="BR699" t="s">
        <v>91</v>
      </c>
      <c r="BS699" t="s">
        <v>9550</v>
      </c>
      <c r="BT699" t="str">
        <f>HYPERLINK("https%3A%2F%2Fwww.webofscience.com%2Fwos%2Fwoscc%2Ffull-record%2FWOS:000168389200002","View Full Record in Web of Science")</f>
        <v>View Full Record in Web of Science</v>
      </c>
    </row>
    <row r="700" spans="1:72" x14ac:dyDescent="0.15">
      <c r="A700" t="s">
        <v>72</v>
      </c>
      <c r="B700" t="s">
        <v>9551</v>
      </c>
      <c r="C700" t="s">
        <v>74</v>
      </c>
      <c r="D700" t="s">
        <v>74</v>
      </c>
      <c r="E700" t="s">
        <v>74</v>
      </c>
      <c r="F700" t="s">
        <v>9551</v>
      </c>
      <c r="G700" t="s">
        <v>74</v>
      </c>
      <c r="H700" t="s">
        <v>74</v>
      </c>
      <c r="I700" t="s">
        <v>9552</v>
      </c>
      <c r="J700" t="s">
        <v>2560</v>
      </c>
      <c r="K700" t="s">
        <v>74</v>
      </c>
      <c r="L700" t="s">
        <v>74</v>
      </c>
      <c r="M700" t="s">
        <v>77</v>
      </c>
      <c r="N700" t="s">
        <v>120</v>
      </c>
      <c r="O700" t="s">
        <v>74</v>
      </c>
      <c r="P700" t="s">
        <v>74</v>
      </c>
      <c r="Q700" t="s">
        <v>74</v>
      </c>
      <c r="R700" t="s">
        <v>74</v>
      </c>
      <c r="S700" t="s">
        <v>74</v>
      </c>
      <c r="T700" t="s">
        <v>74</v>
      </c>
      <c r="U700" t="s">
        <v>9553</v>
      </c>
      <c r="V700" t="s">
        <v>9554</v>
      </c>
      <c r="W700" t="s">
        <v>9555</v>
      </c>
      <c r="X700" t="s">
        <v>9556</v>
      </c>
      <c r="Y700" t="s">
        <v>9557</v>
      </c>
      <c r="Z700" t="s">
        <v>74</v>
      </c>
      <c r="AA700" t="s">
        <v>74</v>
      </c>
      <c r="AB700" t="s">
        <v>74</v>
      </c>
      <c r="AC700" t="s">
        <v>74</v>
      </c>
      <c r="AD700" t="s">
        <v>74</v>
      </c>
      <c r="AE700" t="s">
        <v>74</v>
      </c>
      <c r="AF700" t="s">
        <v>74</v>
      </c>
      <c r="AG700">
        <v>47</v>
      </c>
      <c r="AH700">
        <v>90</v>
      </c>
      <c r="AI700">
        <v>101</v>
      </c>
      <c r="AJ700">
        <v>2</v>
      </c>
      <c r="AK700">
        <v>16</v>
      </c>
      <c r="AL700" t="s">
        <v>273</v>
      </c>
      <c r="AM700" t="s">
        <v>80</v>
      </c>
      <c r="AN700" t="s">
        <v>274</v>
      </c>
      <c r="AO700" t="s">
        <v>2569</v>
      </c>
      <c r="AP700" t="s">
        <v>74</v>
      </c>
      <c r="AQ700" t="s">
        <v>74</v>
      </c>
      <c r="AR700" t="s">
        <v>2571</v>
      </c>
      <c r="AS700" t="s">
        <v>2572</v>
      </c>
      <c r="AT700" t="s">
        <v>9036</v>
      </c>
      <c r="AU700">
        <v>2001</v>
      </c>
      <c r="AV700">
        <v>23</v>
      </c>
      <c r="AW700">
        <v>4</v>
      </c>
      <c r="AX700" t="s">
        <v>74</v>
      </c>
      <c r="AY700" t="s">
        <v>74</v>
      </c>
      <c r="AZ700" t="s">
        <v>74</v>
      </c>
      <c r="BA700" t="s">
        <v>74</v>
      </c>
      <c r="BB700">
        <v>333</v>
      </c>
      <c r="BC700">
        <v>352</v>
      </c>
      <c r="BD700" t="s">
        <v>74</v>
      </c>
      <c r="BE700" t="s">
        <v>9558</v>
      </c>
      <c r="BF700" t="str">
        <f>HYPERLINK("http://dx.doi.org/10.1093/plankt/23.4.333","http://dx.doi.org/10.1093/plankt/23.4.333")</f>
        <v>http://dx.doi.org/10.1093/plankt/23.4.333</v>
      </c>
      <c r="BG700" t="s">
        <v>74</v>
      </c>
      <c r="BH700" t="s">
        <v>74</v>
      </c>
      <c r="BI700">
        <v>20</v>
      </c>
      <c r="BJ700" t="s">
        <v>2574</v>
      </c>
      <c r="BK700" t="s">
        <v>88</v>
      </c>
      <c r="BL700" t="s">
        <v>2574</v>
      </c>
      <c r="BM700" t="s">
        <v>9559</v>
      </c>
      <c r="BN700" t="s">
        <v>74</v>
      </c>
      <c r="BO700" t="s">
        <v>171</v>
      </c>
      <c r="BP700" t="s">
        <v>74</v>
      </c>
      <c r="BQ700" t="s">
        <v>74</v>
      </c>
      <c r="BR700" t="s">
        <v>91</v>
      </c>
      <c r="BS700" t="s">
        <v>9560</v>
      </c>
      <c r="BT700" t="str">
        <f>HYPERLINK("https%3A%2F%2Fwww.webofscience.com%2Fwos%2Fwoscc%2Ffull-record%2FWOS:000169006800001","View Full Record in Web of Science")</f>
        <v>View Full Record in Web of Science</v>
      </c>
    </row>
    <row r="701" spans="1:72" x14ac:dyDescent="0.15">
      <c r="A701" t="s">
        <v>72</v>
      </c>
      <c r="B701" t="s">
        <v>9561</v>
      </c>
      <c r="C701" t="s">
        <v>74</v>
      </c>
      <c r="D701" t="s">
        <v>74</v>
      </c>
      <c r="E701" t="s">
        <v>74</v>
      </c>
      <c r="F701" t="s">
        <v>9561</v>
      </c>
      <c r="G701" t="s">
        <v>74</v>
      </c>
      <c r="H701" t="s">
        <v>74</v>
      </c>
      <c r="I701" t="s">
        <v>9562</v>
      </c>
      <c r="J701" t="s">
        <v>9563</v>
      </c>
      <c r="K701" t="s">
        <v>74</v>
      </c>
      <c r="L701" t="s">
        <v>74</v>
      </c>
      <c r="M701" t="s">
        <v>77</v>
      </c>
      <c r="N701" t="s">
        <v>120</v>
      </c>
      <c r="O701" t="s">
        <v>74</v>
      </c>
      <c r="P701" t="s">
        <v>74</v>
      </c>
      <c r="Q701" t="s">
        <v>74</v>
      </c>
      <c r="R701" t="s">
        <v>74</v>
      </c>
      <c r="S701" t="s">
        <v>74</v>
      </c>
      <c r="T701" t="s">
        <v>74</v>
      </c>
      <c r="U701" t="s">
        <v>9564</v>
      </c>
      <c r="V701" t="s">
        <v>9565</v>
      </c>
      <c r="W701" t="s">
        <v>9566</v>
      </c>
      <c r="X701" t="s">
        <v>9567</v>
      </c>
      <c r="Y701" t="s">
        <v>9568</v>
      </c>
      <c r="Z701" t="s">
        <v>74</v>
      </c>
      <c r="AA701" t="s">
        <v>9569</v>
      </c>
      <c r="AB701" t="s">
        <v>9570</v>
      </c>
      <c r="AC701" t="s">
        <v>74</v>
      </c>
      <c r="AD701" t="s">
        <v>74</v>
      </c>
      <c r="AE701" t="s">
        <v>74</v>
      </c>
      <c r="AF701" t="s">
        <v>74</v>
      </c>
      <c r="AG701">
        <v>19</v>
      </c>
      <c r="AH701">
        <v>26</v>
      </c>
      <c r="AI701">
        <v>40</v>
      </c>
      <c r="AJ701">
        <v>1</v>
      </c>
      <c r="AK701">
        <v>17</v>
      </c>
      <c r="AL701" t="s">
        <v>9571</v>
      </c>
      <c r="AM701" t="s">
        <v>9572</v>
      </c>
      <c r="AN701" t="s">
        <v>9573</v>
      </c>
      <c r="AO701" t="s">
        <v>9574</v>
      </c>
      <c r="AP701" t="s">
        <v>74</v>
      </c>
      <c r="AQ701" t="s">
        <v>74</v>
      </c>
      <c r="AR701" t="s">
        <v>9575</v>
      </c>
      <c r="AS701" t="s">
        <v>9576</v>
      </c>
      <c r="AT701" t="s">
        <v>9036</v>
      </c>
      <c r="AU701">
        <v>2001</v>
      </c>
      <c r="AV701">
        <v>51</v>
      </c>
      <c r="AW701">
        <v>4</v>
      </c>
      <c r="AX701" t="s">
        <v>74</v>
      </c>
      <c r="AY701" t="s">
        <v>74</v>
      </c>
      <c r="AZ701" t="s">
        <v>74</v>
      </c>
      <c r="BA701" t="s">
        <v>74</v>
      </c>
      <c r="BB701">
        <v>593</v>
      </c>
      <c r="BC701">
        <v>600</v>
      </c>
      <c r="BD701" t="s">
        <v>74</v>
      </c>
      <c r="BE701" t="s">
        <v>9577</v>
      </c>
      <c r="BF701" t="str">
        <f>HYPERLINK("http://dx.doi.org/10.1080/10473289.2001.10464283","http://dx.doi.org/10.1080/10473289.2001.10464283")</f>
        <v>http://dx.doi.org/10.1080/10473289.2001.10464283</v>
      </c>
      <c r="BG701" t="s">
        <v>74</v>
      </c>
      <c r="BH701" t="s">
        <v>74</v>
      </c>
      <c r="BI701">
        <v>8</v>
      </c>
      <c r="BJ701" t="s">
        <v>9578</v>
      </c>
      <c r="BK701" t="s">
        <v>88</v>
      </c>
      <c r="BL701" t="s">
        <v>9579</v>
      </c>
      <c r="BM701" t="s">
        <v>9580</v>
      </c>
      <c r="BN701">
        <v>11321916</v>
      </c>
      <c r="BO701" t="s">
        <v>74</v>
      </c>
      <c r="BP701" t="s">
        <v>74</v>
      </c>
      <c r="BQ701" t="s">
        <v>74</v>
      </c>
      <c r="BR701" t="s">
        <v>91</v>
      </c>
      <c r="BS701" t="s">
        <v>9581</v>
      </c>
      <c r="BT701" t="str">
        <f>HYPERLINK("https%3A%2F%2Fwww.webofscience.com%2Fwos%2Fwoscc%2Ffull-record%2FWOS:000167943600012","View Full Record in Web of Science")</f>
        <v>View Full Record in Web of Science</v>
      </c>
    </row>
    <row r="702" spans="1:72" x14ac:dyDescent="0.15">
      <c r="A702" t="s">
        <v>72</v>
      </c>
      <c r="B702" t="s">
        <v>9582</v>
      </c>
      <c r="C702" t="s">
        <v>74</v>
      </c>
      <c r="D702" t="s">
        <v>74</v>
      </c>
      <c r="E702" t="s">
        <v>74</v>
      </c>
      <c r="F702" t="s">
        <v>9582</v>
      </c>
      <c r="G702" t="s">
        <v>74</v>
      </c>
      <c r="H702" t="s">
        <v>74</v>
      </c>
      <c r="I702" t="s">
        <v>9583</v>
      </c>
      <c r="J702" t="s">
        <v>9584</v>
      </c>
      <c r="K702" t="s">
        <v>74</v>
      </c>
      <c r="L702" t="s">
        <v>74</v>
      </c>
      <c r="M702" t="s">
        <v>77</v>
      </c>
      <c r="N702" t="s">
        <v>120</v>
      </c>
      <c r="O702" t="s">
        <v>74</v>
      </c>
      <c r="P702" t="s">
        <v>74</v>
      </c>
      <c r="Q702" t="s">
        <v>74</v>
      </c>
      <c r="R702" t="s">
        <v>74</v>
      </c>
      <c r="S702" t="s">
        <v>74</v>
      </c>
      <c r="T702" t="s">
        <v>9585</v>
      </c>
      <c r="U702" t="s">
        <v>9586</v>
      </c>
      <c r="V702" t="s">
        <v>9587</v>
      </c>
      <c r="W702" t="s">
        <v>365</v>
      </c>
      <c r="X702" t="s">
        <v>366</v>
      </c>
      <c r="Y702" t="s">
        <v>367</v>
      </c>
      <c r="Z702" t="s">
        <v>74</v>
      </c>
      <c r="AA702" t="s">
        <v>74</v>
      </c>
      <c r="AB702" t="s">
        <v>74</v>
      </c>
      <c r="AC702" t="s">
        <v>74</v>
      </c>
      <c r="AD702" t="s">
        <v>74</v>
      </c>
      <c r="AE702" t="s">
        <v>74</v>
      </c>
      <c r="AF702" t="s">
        <v>74</v>
      </c>
      <c r="AG702">
        <v>42</v>
      </c>
      <c r="AH702">
        <v>44</v>
      </c>
      <c r="AI702">
        <v>47</v>
      </c>
      <c r="AJ702">
        <v>1</v>
      </c>
      <c r="AK702">
        <v>20</v>
      </c>
      <c r="AL702" t="s">
        <v>9588</v>
      </c>
      <c r="AM702" t="s">
        <v>9589</v>
      </c>
      <c r="AN702" t="s">
        <v>9590</v>
      </c>
      <c r="AO702" t="s">
        <v>9591</v>
      </c>
      <c r="AP702" t="s">
        <v>74</v>
      </c>
      <c r="AQ702" t="s">
        <v>74</v>
      </c>
      <c r="AR702" t="s">
        <v>9592</v>
      </c>
      <c r="AS702" t="s">
        <v>9593</v>
      </c>
      <c r="AT702" t="s">
        <v>9036</v>
      </c>
      <c r="AU702">
        <v>2001</v>
      </c>
      <c r="AV702">
        <v>12</v>
      </c>
      <c r="AW702">
        <v>2</v>
      </c>
      <c r="AX702" t="s">
        <v>74</v>
      </c>
      <c r="AY702" t="s">
        <v>74</v>
      </c>
      <c r="AZ702" t="s">
        <v>74</v>
      </c>
      <c r="BA702" t="s">
        <v>74</v>
      </c>
      <c r="BB702">
        <v>181</v>
      </c>
      <c r="BC702">
        <v>198</v>
      </c>
      <c r="BD702" t="s">
        <v>74</v>
      </c>
      <c r="BE702" t="s">
        <v>9594</v>
      </c>
      <c r="BF702" t="str">
        <f>HYPERLINK("http://dx.doi.org/10.2307/3236603","http://dx.doi.org/10.2307/3236603")</f>
        <v>http://dx.doi.org/10.2307/3236603</v>
      </c>
      <c r="BG702" t="s">
        <v>74</v>
      </c>
      <c r="BH702" t="s">
        <v>74</v>
      </c>
      <c r="BI702">
        <v>18</v>
      </c>
      <c r="BJ702" t="s">
        <v>7411</v>
      </c>
      <c r="BK702" t="s">
        <v>88</v>
      </c>
      <c r="BL702" t="s">
        <v>7412</v>
      </c>
      <c r="BM702" t="s">
        <v>9595</v>
      </c>
      <c r="BN702" t="s">
        <v>74</v>
      </c>
      <c r="BO702" t="s">
        <v>74</v>
      </c>
      <c r="BP702" t="s">
        <v>74</v>
      </c>
      <c r="BQ702" t="s">
        <v>74</v>
      </c>
      <c r="BR702" t="s">
        <v>91</v>
      </c>
      <c r="BS702" t="s">
        <v>9596</v>
      </c>
      <c r="BT702" t="str">
        <f>HYPERLINK("https%3A%2F%2Fwww.webofscience.com%2Fwos%2Fwoscc%2Ffull-record%2FWOS:000169501100003","View Full Record in Web of Science")</f>
        <v>View Full Record in Web of Science</v>
      </c>
    </row>
    <row r="703" spans="1:72" x14ac:dyDescent="0.15">
      <c r="A703" t="s">
        <v>72</v>
      </c>
      <c r="B703" t="s">
        <v>9597</v>
      </c>
      <c r="C703" t="s">
        <v>74</v>
      </c>
      <c r="D703" t="s">
        <v>74</v>
      </c>
      <c r="E703" t="s">
        <v>74</v>
      </c>
      <c r="F703" t="s">
        <v>9597</v>
      </c>
      <c r="G703" t="s">
        <v>74</v>
      </c>
      <c r="H703" t="s">
        <v>74</v>
      </c>
      <c r="I703" t="s">
        <v>9598</v>
      </c>
      <c r="J703" t="s">
        <v>2605</v>
      </c>
      <c r="K703" t="s">
        <v>74</v>
      </c>
      <c r="L703" t="s">
        <v>74</v>
      </c>
      <c r="M703" t="s">
        <v>77</v>
      </c>
      <c r="N703" t="s">
        <v>120</v>
      </c>
      <c r="O703" t="s">
        <v>74</v>
      </c>
      <c r="P703" t="s">
        <v>74</v>
      </c>
      <c r="Q703" t="s">
        <v>74</v>
      </c>
      <c r="R703" t="s">
        <v>74</v>
      </c>
      <c r="S703" t="s">
        <v>74</v>
      </c>
      <c r="T703" t="s">
        <v>9599</v>
      </c>
      <c r="U703" t="s">
        <v>9600</v>
      </c>
      <c r="V703" t="s">
        <v>9601</v>
      </c>
      <c r="W703" t="s">
        <v>9602</v>
      </c>
      <c r="X703" t="s">
        <v>2657</v>
      </c>
      <c r="Y703" t="s">
        <v>9603</v>
      </c>
      <c r="Z703" t="s">
        <v>9604</v>
      </c>
      <c r="AA703" t="s">
        <v>74</v>
      </c>
      <c r="AB703" t="s">
        <v>74</v>
      </c>
      <c r="AC703" t="s">
        <v>74</v>
      </c>
      <c r="AD703" t="s">
        <v>74</v>
      </c>
      <c r="AE703" t="s">
        <v>74</v>
      </c>
      <c r="AF703" t="s">
        <v>74</v>
      </c>
      <c r="AG703">
        <v>53</v>
      </c>
      <c r="AH703">
        <v>4</v>
      </c>
      <c r="AI703">
        <v>4</v>
      </c>
      <c r="AJ703">
        <v>0</v>
      </c>
      <c r="AK703">
        <v>2</v>
      </c>
      <c r="AL703" t="s">
        <v>1247</v>
      </c>
      <c r="AM703" t="s">
        <v>1248</v>
      </c>
      <c r="AN703" t="s">
        <v>1249</v>
      </c>
      <c r="AO703" t="s">
        <v>2614</v>
      </c>
      <c r="AP703" t="s">
        <v>2615</v>
      </c>
      <c r="AQ703" t="s">
        <v>74</v>
      </c>
      <c r="AR703" t="s">
        <v>2616</v>
      </c>
      <c r="AS703" t="s">
        <v>2617</v>
      </c>
      <c r="AT703" t="s">
        <v>9036</v>
      </c>
      <c r="AU703">
        <v>2001</v>
      </c>
      <c r="AV703">
        <v>253</v>
      </c>
      <c r="AW703" t="s">
        <v>74</v>
      </c>
      <c r="AX703">
        <v>4</v>
      </c>
      <c r="AY703" t="s">
        <v>74</v>
      </c>
      <c r="AZ703" t="s">
        <v>74</v>
      </c>
      <c r="BA703" t="s">
        <v>74</v>
      </c>
      <c r="BB703">
        <v>505</v>
      </c>
      <c r="BC703">
        <v>512</v>
      </c>
      <c r="BD703" t="s">
        <v>74</v>
      </c>
      <c r="BE703" t="s">
        <v>9605</v>
      </c>
      <c r="BF703" t="str">
        <f>HYPERLINK("http://dx.doi.org/10.1017/S0952836901000462","http://dx.doi.org/10.1017/S0952836901000462")</f>
        <v>http://dx.doi.org/10.1017/S0952836901000462</v>
      </c>
      <c r="BG703" t="s">
        <v>74</v>
      </c>
      <c r="BH703" t="s">
        <v>74</v>
      </c>
      <c r="BI703">
        <v>8</v>
      </c>
      <c r="BJ703" t="s">
        <v>408</v>
      </c>
      <c r="BK703" t="s">
        <v>88</v>
      </c>
      <c r="BL703" t="s">
        <v>408</v>
      </c>
      <c r="BM703" t="s">
        <v>9606</v>
      </c>
      <c r="BN703" t="s">
        <v>74</v>
      </c>
      <c r="BO703" t="s">
        <v>74</v>
      </c>
      <c r="BP703" t="s">
        <v>74</v>
      </c>
      <c r="BQ703" t="s">
        <v>74</v>
      </c>
      <c r="BR703" t="s">
        <v>91</v>
      </c>
      <c r="BS703" t="s">
        <v>9607</v>
      </c>
      <c r="BT703" t="str">
        <f>HYPERLINK("https%3A%2F%2Fwww.webofscience.com%2Fwos%2Fwoscc%2Ffull-record%2FWOS:000168615500008","View Full Record in Web of Science")</f>
        <v>View Full Record in Web of Science</v>
      </c>
    </row>
    <row r="704" spans="1:72" x14ac:dyDescent="0.15">
      <c r="A704" t="s">
        <v>72</v>
      </c>
      <c r="B704" t="s">
        <v>9608</v>
      </c>
      <c r="C704" t="s">
        <v>74</v>
      </c>
      <c r="D704" t="s">
        <v>74</v>
      </c>
      <c r="E704" t="s">
        <v>74</v>
      </c>
      <c r="F704" t="s">
        <v>9608</v>
      </c>
      <c r="G704" t="s">
        <v>74</v>
      </c>
      <c r="H704" t="s">
        <v>74</v>
      </c>
      <c r="I704" t="s">
        <v>9609</v>
      </c>
      <c r="J704" t="s">
        <v>5238</v>
      </c>
      <c r="K704" t="s">
        <v>74</v>
      </c>
      <c r="L704" t="s">
        <v>74</v>
      </c>
      <c r="M704" t="s">
        <v>77</v>
      </c>
      <c r="N704" t="s">
        <v>696</v>
      </c>
      <c r="O704" t="s">
        <v>74</v>
      </c>
      <c r="P704" t="s">
        <v>74</v>
      </c>
      <c r="Q704" t="s">
        <v>74</v>
      </c>
      <c r="R704" t="s">
        <v>74</v>
      </c>
      <c r="S704" t="s">
        <v>74</v>
      </c>
      <c r="T704" t="s">
        <v>74</v>
      </c>
      <c r="U704" t="s">
        <v>74</v>
      </c>
      <c r="V704" t="s">
        <v>74</v>
      </c>
      <c r="W704" t="s">
        <v>74</v>
      </c>
      <c r="X704" t="s">
        <v>74</v>
      </c>
      <c r="Y704" t="s">
        <v>74</v>
      </c>
      <c r="Z704" t="s">
        <v>74</v>
      </c>
      <c r="AA704" t="s">
        <v>74</v>
      </c>
      <c r="AB704" t="s">
        <v>74</v>
      </c>
      <c r="AC704" t="s">
        <v>74</v>
      </c>
      <c r="AD704" t="s">
        <v>74</v>
      </c>
      <c r="AE704" t="s">
        <v>74</v>
      </c>
      <c r="AF704" t="s">
        <v>74</v>
      </c>
      <c r="AG704">
        <v>1</v>
      </c>
      <c r="AH704">
        <v>0</v>
      </c>
      <c r="AI704">
        <v>0</v>
      </c>
      <c r="AJ704">
        <v>0</v>
      </c>
      <c r="AK704">
        <v>0</v>
      </c>
      <c r="AL704" t="s">
        <v>9610</v>
      </c>
      <c r="AM704" t="s">
        <v>204</v>
      </c>
      <c r="AN704" t="s">
        <v>9611</v>
      </c>
      <c r="AO704" t="s">
        <v>5241</v>
      </c>
      <c r="AP704" t="s">
        <v>74</v>
      </c>
      <c r="AQ704" t="s">
        <v>74</v>
      </c>
      <c r="AR704" t="s">
        <v>5242</v>
      </c>
      <c r="AS704" t="s">
        <v>5243</v>
      </c>
      <c r="AT704" t="s">
        <v>9612</v>
      </c>
      <c r="AU704">
        <v>2001</v>
      </c>
      <c r="AV704">
        <v>126</v>
      </c>
      <c r="AW704">
        <v>6</v>
      </c>
      <c r="AX704" t="s">
        <v>74</v>
      </c>
      <c r="AY704" t="s">
        <v>74</v>
      </c>
      <c r="AZ704" t="s">
        <v>74</v>
      </c>
      <c r="BA704" t="s">
        <v>74</v>
      </c>
      <c r="BB704">
        <v>139</v>
      </c>
      <c r="BC704">
        <v>139</v>
      </c>
      <c r="BD704" t="s">
        <v>74</v>
      </c>
      <c r="BE704" t="s">
        <v>74</v>
      </c>
      <c r="BF704" t="s">
        <v>74</v>
      </c>
      <c r="BG704" t="s">
        <v>74</v>
      </c>
      <c r="BH704" t="s">
        <v>74</v>
      </c>
      <c r="BI704">
        <v>1</v>
      </c>
      <c r="BJ704" t="s">
        <v>5244</v>
      </c>
      <c r="BK704" t="s">
        <v>1796</v>
      </c>
      <c r="BL704" t="s">
        <v>5244</v>
      </c>
      <c r="BM704" t="s">
        <v>9613</v>
      </c>
      <c r="BN704" t="s">
        <v>74</v>
      </c>
      <c r="BO704" t="s">
        <v>74</v>
      </c>
      <c r="BP704" t="s">
        <v>74</v>
      </c>
      <c r="BQ704" t="s">
        <v>74</v>
      </c>
      <c r="BR704" t="s">
        <v>91</v>
      </c>
      <c r="BS704" t="s">
        <v>9614</v>
      </c>
      <c r="BT704" t="str">
        <f>HYPERLINK("https%3A%2F%2Fwww.webofscience.com%2Fwos%2Fwoscc%2Ffull-record%2FWOS:000167701500282","View Full Record in Web of Science")</f>
        <v>View Full Record in Web of Science</v>
      </c>
    </row>
    <row r="705" spans="1:72" x14ac:dyDescent="0.15">
      <c r="A705" t="s">
        <v>72</v>
      </c>
      <c r="B705" t="s">
        <v>9615</v>
      </c>
      <c r="C705" t="s">
        <v>74</v>
      </c>
      <c r="D705" t="s">
        <v>74</v>
      </c>
      <c r="E705" t="s">
        <v>74</v>
      </c>
      <c r="F705" t="s">
        <v>9615</v>
      </c>
      <c r="G705" t="s">
        <v>74</v>
      </c>
      <c r="H705" t="s">
        <v>74</v>
      </c>
      <c r="I705" t="s">
        <v>9616</v>
      </c>
      <c r="J705" t="s">
        <v>1415</v>
      </c>
      <c r="K705" t="s">
        <v>74</v>
      </c>
      <c r="L705" t="s">
        <v>74</v>
      </c>
      <c r="M705" t="s">
        <v>77</v>
      </c>
      <c r="N705" t="s">
        <v>120</v>
      </c>
      <c r="O705" t="s">
        <v>74</v>
      </c>
      <c r="P705" t="s">
        <v>74</v>
      </c>
      <c r="Q705" t="s">
        <v>74</v>
      </c>
      <c r="R705" t="s">
        <v>74</v>
      </c>
      <c r="S705" t="s">
        <v>74</v>
      </c>
      <c r="T705" t="s">
        <v>74</v>
      </c>
      <c r="U705" t="s">
        <v>9617</v>
      </c>
      <c r="V705" t="s">
        <v>9618</v>
      </c>
      <c r="W705" t="s">
        <v>9619</v>
      </c>
      <c r="X705" t="s">
        <v>1452</v>
      </c>
      <c r="Y705" t="s">
        <v>9620</v>
      </c>
      <c r="Z705" t="s">
        <v>9621</v>
      </c>
      <c r="AA705" t="s">
        <v>9622</v>
      </c>
      <c r="AB705" t="s">
        <v>9623</v>
      </c>
      <c r="AC705" t="s">
        <v>74</v>
      </c>
      <c r="AD705" t="s">
        <v>74</v>
      </c>
      <c r="AE705" t="s">
        <v>74</v>
      </c>
      <c r="AF705" t="s">
        <v>74</v>
      </c>
      <c r="AG705">
        <v>45</v>
      </c>
      <c r="AH705">
        <v>29</v>
      </c>
      <c r="AI705">
        <v>43</v>
      </c>
      <c r="AJ705">
        <v>0</v>
      </c>
      <c r="AK705">
        <v>5</v>
      </c>
      <c r="AL705" t="s">
        <v>248</v>
      </c>
      <c r="AM705" t="s">
        <v>204</v>
      </c>
      <c r="AN705" t="s">
        <v>1622</v>
      </c>
      <c r="AO705" t="s">
        <v>1421</v>
      </c>
      <c r="AP705" t="s">
        <v>74</v>
      </c>
      <c r="AQ705" t="s">
        <v>74</v>
      </c>
      <c r="AR705" t="s">
        <v>1422</v>
      </c>
      <c r="AS705" t="s">
        <v>1423</v>
      </c>
      <c r="AT705" t="s">
        <v>9036</v>
      </c>
      <c r="AU705">
        <v>2001</v>
      </c>
      <c r="AV705">
        <v>138</v>
      </c>
      <c r="AW705">
        <v>4</v>
      </c>
      <c r="AX705" t="s">
        <v>74</v>
      </c>
      <c r="AY705" t="s">
        <v>74</v>
      </c>
      <c r="AZ705" t="s">
        <v>74</v>
      </c>
      <c r="BA705" t="s">
        <v>74</v>
      </c>
      <c r="BB705">
        <v>819</v>
      </c>
      <c r="BC705">
        <v>825</v>
      </c>
      <c r="BD705" t="s">
        <v>74</v>
      </c>
      <c r="BE705" t="s">
        <v>9624</v>
      </c>
      <c r="BF705" t="str">
        <f>HYPERLINK("http://dx.doi.org/10.1007/s002270000496","http://dx.doi.org/10.1007/s002270000496")</f>
        <v>http://dx.doi.org/10.1007/s002270000496</v>
      </c>
      <c r="BG705" t="s">
        <v>74</v>
      </c>
      <c r="BH705" t="s">
        <v>74</v>
      </c>
      <c r="BI705">
        <v>7</v>
      </c>
      <c r="BJ705" t="s">
        <v>323</v>
      </c>
      <c r="BK705" t="s">
        <v>88</v>
      </c>
      <c r="BL705" t="s">
        <v>323</v>
      </c>
      <c r="BM705" t="s">
        <v>9625</v>
      </c>
      <c r="BN705" t="s">
        <v>74</v>
      </c>
      <c r="BO705" t="s">
        <v>74</v>
      </c>
      <c r="BP705" t="s">
        <v>74</v>
      </c>
      <c r="BQ705" t="s">
        <v>74</v>
      </c>
      <c r="BR705" t="s">
        <v>91</v>
      </c>
      <c r="BS705" t="s">
        <v>9626</v>
      </c>
      <c r="BT705" t="str">
        <f>HYPERLINK("https%3A%2F%2Fwww.webofscience.com%2Fwos%2Fwoscc%2Ffull-record%2FWOS:000168519900017","View Full Record in Web of Science")</f>
        <v>View Full Record in Web of Science</v>
      </c>
    </row>
    <row r="706" spans="1:72" x14ac:dyDescent="0.15">
      <c r="A706" t="s">
        <v>72</v>
      </c>
      <c r="B706" t="s">
        <v>73</v>
      </c>
      <c r="C706" t="s">
        <v>74</v>
      </c>
      <c r="D706" t="s">
        <v>74</v>
      </c>
      <c r="E706" t="s">
        <v>74</v>
      </c>
      <c r="F706" t="s">
        <v>73</v>
      </c>
      <c r="G706" t="s">
        <v>74</v>
      </c>
      <c r="H706" t="s">
        <v>74</v>
      </c>
      <c r="I706" t="s">
        <v>9627</v>
      </c>
      <c r="J706" t="s">
        <v>76</v>
      </c>
      <c r="K706" t="s">
        <v>74</v>
      </c>
      <c r="L706" t="s">
        <v>74</v>
      </c>
      <c r="M706" t="s">
        <v>77</v>
      </c>
      <c r="N706" t="s">
        <v>78</v>
      </c>
      <c r="O706" t="s">
        <v>74</v>
      </c>
      <c r="P706" t="s">
        <v>74</v>
      </c>
      <c r="Q706" t="s">
        <v>74</v>
      </c>
      <c r="R706" t="s">
        <v>74</v>
      </c>
      <c r="S706" t="s">
        <v>74</v>
      </c>
      <c r="T706" t="s">
        <v>74</v>
      </c>
      <c r="U706" t="s">
        <v>74</v>
      </c>
      <c r="V706" t="s">
        <v>74</v>
      </c>
      <c r="W706" t="s">
        <v>74</v>
      </c>
      <c r="X706" t="s">
        <v>74</v>
      </c>
      <c r="Y706" t="s">
        <v>74</v>
      </c>
      <c r="Z706" t="s">
        <v>74</v>
      </c>
      <c r="AA706" t="s">
        <v>74</v>
      </c>
      <c r="AB706" t="s">
        <v>74</v>
      </c>
      <c r="AC706" t="s">
        <v>74</v>
      </c>
      <c r="AD706" t="s">
        <v>74</v>
      </c>
      <c r="AE706" t="s">
        <v>74</v>
      </c>
      <c r="AF706" t="s">
        <v>74</v>
      </c>
      <c r="AG706">
        <v>0</v>
      </c>
      <c r="AH706">
        <v>0</v>
      </c>
      <c r="AI706">
        <v>0</v>
      </c>
      <c r="AJ706">
        <v>0</v>
      </c>
      <c r="AK706">
        <v>0</v>
      </c>
      <c r="AL706" t="s">
        <v>79</v>
      </c>
      <c r="AM706" t="s">
        <v>80</v>
      </c>
      <c r="AN706" t="s">
        <v>81</v>
      </c>
      <c r="AO706" t="s">
        <v>82</v>
      </c>
      <c r="AP706" t="s">
        <v>83</v>
      </c>
      <c r="AQ706" t="s">
        <v>74</v>
      </c>
      <c r="AR706" t="s">
        <v>84</v>
      </c>
      <c r="AS706" t="s">
        <v>85</v>
      </c>
      <c r="AT706" t="s">
        <v>9036</v>
      </c>
      <c r="AU706">
        <v>2001</v>
      </c>
      <c r="AV706">
        <v>42</v>
      </c>
      <c r="AW706">
        <v>4</v>
      </c>
      <c r="AX706" t="s">
        <v>74</v>
      </c>
      <c r="AY706" t="s">
        <v>74</v>
      </c>
      <c r="AZ706" t="s">
        <v>74</v>
      </c>
      <c r="BA706" t="s">
        <v>74</v>
      </c>
      <c r="BB706">
        <v>255</v>
      </c>
      <c r="BC706">
        <v>255</v>
      </c>
      <c r="BD706" t="s">
        <v>74</v>
      </c>
      <c r="BE706" t="s">
        <v>74</v>
      </c>
      <c r="BF706" t="s">
        <v>74</v>
      </c>
      <c r="BG706" t="s">
        <v>74</v>
      </c>
      <c r="BH706" t="s">
        <v>74</v>
      </c>
      <c r="BI706">
        <v>1</v>
      </c>
      <c r="BJ706" t="s">
        <v>87</v>
      </c>
      <c r="BK706" t="s">
        <v>88</v>
      </c>
      <c r="BL706" t="s">
        <v>89</v>
      </c>
      <c r="BM706" t="s">
        <v>9628</v>
      </c>
      <c r="BN706" t="s">
        <v>74</v>
      </c>
      <c r="BO706" t="s">
        <v>74</v>
      </c>
      <c r="BP706" t="s">
        <v>74</v>
      </c>
      <c r="BQ706" t="s">
        <v>74</v>
      </c>
      <c r="BR706" t="s">
        <v>91</v>
      </c>
      <c r="BS706" t="s">
        <v>9629</v>
      </c>
      <c r="BT706" t="str">
        <f>HYPERLINK("https%3A%2F%2Fwww.webofscience.com%2Fwos%2Fwoscc%2Ffull-record%2FWOS:000168571300009","View Full Record in Web of Science")</f>
        <v>View Full Record in Web of Science</v>
      </c>
    </row>
    <row r="707" spans="1:72" x14ac:dyDescent="0.15">
      <c r="A707" t="s">
        <v>72</v>
      </c>
      <c r="B707" t="s">
        <v>9630</v>
      </c>
      <c r="C707" t="s">
        <v>74</v>
      </c>
      <c r="D707" t="s">
        <v>74</v>
      </c>
      <c r="E707" t="s">
        <v>74</v>
      </c>
      <c r="F707" t="s">
        <v>9630</v>
      </c>
      <c r="G707" t="s">
        <v>74</v>
      </c>
      <c r="H707" t="s">
        <v>74</v>
      </c>
      <c r="I707" t="s">
        <v>9631</v>
      </c>
      <c r="J707" t="s">
        <v>76</v>
      </c>
      <c r="K707" t="s">
        <v>74</v>
      </c>
      <c r="L707" t="s">
        <v>74</v>
      </c>
      <c r="M707" t="s">
        <v>77</v>
      </c>
      <c r="N707" t="s">
        <v>120</v>
      </c>
      <c r="O707" t="s">
        <v>74</v>
      </c>
      <c r="P707" t="s">
        <v>74</v>
      </c>
      <c r="Q707" t="s">
        <v>74</v>
      </c>
      <c r="R707" t="s">
        <v>74</v>
      </c>
      <c r="S707" t="s">
        <v>74</v>
      </c>
      <c r="T707" t="s">
        <v>9632</v>
      </c>
      <c r="U707" t="s">
        <v>74</v>
      </c>
      <c r="V707" t="s">
        <v>9633</v>
      </c>
      <c r="W707" t="s">
        <v>9634</v>
      </c>
      <c r="X707" t="s">
        <v>9635</v>
      </c>
      <c r="Y707" t="s">
        <v>9636</v>
      </c>
      <c r="Z707" t="s">
        <v>74</v>
      </c>
      <c r="AA707" t="s">
        <v>74</v>
      </c>
      <c r="AB707" t="s">
        <v>74</v>
      </c>
      <c r="AC707" t="s">
        <v>74</v>
      </c>
      <c r="AD707" t="s">
        <v>74</v>
      </c>
      <c r="AE707" t="s">
        <v>74</v>
      </c>
      <c r="AF707" t="s">
        <v>74</v>
      </c>
      <c r="AG707">
        <v>16</v>
      </c>
      <c r="AH707">
        <v>9</v>
      </c>
      <c r="AI707">
        <v>9</v>
      </c>
      <c r="AJ707">
        <v>1</v>
      </c>
      <c r="AK707">
        <v>10</v>
      </c>
      <c r="AL707" t="s">
        <v>79</v>
      </c>
      <c r="AM707" t="s">
        <v>80</v>
      </c>
      <c r="AN707" t="s">
        <v>81</v>
      </c>
      <c r="AO707" t="s">
        <v>82</v>
      </c>
      <c r="AP707" t="s">
        <v>83</v>
      </c>
      <c r="AQ707" t="s">
        <v>74</v>
      </c>
      <c r="AR707" t="s">
        <v>84</v>
      </c>
      <c r="AS707" t="s">
        <v>85</v>
      </c>
      <c r="AT707" t="s">
        <v>9036</v>
      </c>
      <c r="AU707">
        <v>2001</v>
      </c>
      <c r="AV707">
        <v>42</v>
      </c>
      <c r="AW707">
        <v>4</v>
      </c>
      <c r="AX707" t="s">
        <v>74</v>
      </c>
      <c r="AY707" t="s">
        <v>74</v>
      </c>
      <c r="AZ707" t="s">
        <v>74</v>
      </c>
      <c r="BA707" t="s">
        <v>74</v>
      </c>
      <c r="BB707">
        <v>319</v>
      </c>
      <c r="BC707">
        <v>323</v>
      </c>
      <c r="BD707" t="s">
        <v>74</v>
      </c>
      <c r="BE707" t="s">
        <v>74</v>
      </c>
      <c r="BF707" t="s">
        <v>74</v>
      </c>
      <c r="BG707" t="s">
        <v>74</v>
      </c>
      <c r="BH707" t="s">
        <v>74</v>
      </c>
      <c r="BI707">
        <v>5</v>
      </c>
      <c r="BJ707" t="s">
        <v>87</v>
      </c>
      <c r="BK707" t="s">
        <v>88</v>
      </c>
      <c r="BL707" t="s">
        <v>89</v>
      </c>
      <c r="BM707" t="s">
        <v>9628</v>
      </c>
      <c r="BN707">
        <v>11381753</v>
      </c>
      <c r="BO707" t="s">
        <v>74</v>
      </c>
      <c r="BP707" t="s">
        <v>74</v>
      </c>
      <c r="BQ707" t="s">
        <v>74</v>
      </c>
      <c r="BR707" t="s">
        <v>91</v>
      </c>
      <c r="BS707" t="s">
        <v>9637</v>
      </c>
      <c r="BT707" t="str">
        <f>HYPERLINK("https%3A%2F%2Fwww.webofscience.com%2Fwos%2Fwoscc%2Ffull-record%2FWOS:000168571300020","View Full Record in Web of Science")</f>
        <v>View Full Record in Web of Science</v>
      </c>
    </row>
    <row r="708" spans="1:72" x14ac:dyDescent="0.15">
      <c r="A708" t="s">
        <v>72</v>
      </c>
      <c r="B708" t="s">
        <v>9638</v>
      </c>
      <c r="C708" t="s">
        <v>74</v>
      </c>
      <c r="D708" t="s">
        <v>74</v>
      </c>
      <c r="E708" t="s">
        <v>74</v>
      </c>
      <c r="F708" t="s">
        <v>9638</v>
      </c>
      <c r="G708" t="s">
        <v>74</v>
      </c>
      <c r="H708" t="s">
        <v>74</v>
      </c>
      <c r="I708" t="s">
        <v>9639</v>
      </c>
      <c r="J708" t="s">
        <v>1523</v>
      </c>
      <c r="K708" t="s">
        <v>74</v>
      </c>
      <c r="L708" t="s">
        <v>74</v>
      </c>
      <c r="M708" t="s">
        <v>77</v>
      </c>
      <c r="N708" t="s">
        <v>120</v>
      </c>
      <c r="O708" t="s">
        <v>74</v>
      </c>
      <c r="P708" t="s">
        <v>74</v>
      </c>
      <c r="Q708" t="s">
        <v>74</v>
      </c>
      <c r="R708" t="s">
        <v>74</v>
      </c>
      <c r="S708" t="s">
        <v>74</v>
      </c>
      <c r="T708" t="s">
        <v>9640</v>
      </c>
      <c r="U708" t="s">
        <v>9641</v>
      </c>
      <c r="V708" t="s">
        <v>9642</v>
      </c>
      <c r="W708" t="s">
        <v>9643</v>
      </c>
      <c r="X708" t="s">
        <v>9644</v>
      </c>
      <c r="Y708" t="s">
        <v>9645</v>
      </c>
      <c r="Z708" t="s">
        <v>9646</v>
      </c>
      <c r="AA708" t="s">
        <v>74</v>
      </c>
      <c r="AB708" t="s">
        <v>9647</v>
      </c>
      <c r="AC708" t="s">
        <v>74</v>
      </c>
      <c r="AD708" t="s">
        <v>74</v>
      </c>
      <c r="AE708" t="s">
        <v>74</v>
      </c>
      <c r="AF708" t="s">
        <v>74</v>
      </c>
      <c r="AG708">
        <v>30</v>
      </c>
      <c r="AH708">
        <v>66</v>
      </c>
      <c r="AI708">
        <v>75</v>
      </c>
      <c r="AJ708">
        <v>0</v>
      </c>
      <c r="AK708">
        <v>10</v>
      </c>
      <c r="AL708" t="s">
        <v>1247</v>
      </c>
      <c r="AM708" t="s">
        <v>1248</v>
      </c>
      <c r="AN708" t="s">
        <v>1249</v>
      </c>
      <c r="AO708" t="s">
        <v>1530</v>
      </c>
      <c r="AP708" t="s">
        <v>9648</v>
      </c>
      <c r="AQ708" t="s">
        <v>74</v>
      </c>
      <c r="AR708" t="s">
        <v>1531</v>
      </c>
      <c r="AS708" t="s">
        <v>1532</v>
      </c>
      <c r="AT708" t="s">
        <v>9036</v>
      </c>
      <c r="AU708">
        <v>2001</v>
      </c>
      <c r="AV708">
        <v>10</v>
      </c>
      <c r="AW708">
        <v>4</v>
      </c>
      <c r="AX708" t="s">
        <v>74</v>
      </c>
      <c r="AY708" t="s">
        <v>74</v>
      </c>
      <c r="AZ708" t="s">
        <v>74</v>
      </c>
      <c r="BA708" t="s">
        <v>74</v>
      </c>
      <c r="BB708">
        <v>1061</v>
      </c>
      <c r="BC708">
        <v>1067</v>
      </c>
      <c r="BD708" t="s">
        <v>74</v>
      </c>
      <c r="BE708" t="s">
        <v>9649</v>
      </c>
      <c r="BF708" t="str">
        <f>HYPERLINK("http://dx.doi.org/10.1046/j.1365-294X.2001.01242.x","http://dx.doi.org/10.1046/j.1365-294X.2001.01242.x")</f>
        <v>http://dx.doi.org/10.1046/j.1365-294X.2001.01242.x</v>
      </c>
      <c r="BG708" t="s">
        <v>74</v>
      </c>
      <c r="BH708" t="s">
        <v>74</v>
      </c>
      <c r="BI708">
        <v>7</v>
      </c>
      <c r="BJ708" t="s">
        <v>1534</v>
      </c>
      <c r="BK708" t="s">
        <v>88</v>
      </c>
      <c r="BL708" t="s">
        <v>1535</v>
      </c>
      <c r="BM708" t="s">
        <v>9650</v>
      </c>
      <c r="BN708">
        <v>11348511</v>
      </c>
      <c r="BO708" t="s">
        <v>74</v>
      </c>
      <c r="BP708" t="s">
        <v>74</v>
      </c>
      <c r="BQ708" t="s">
        <v>74</v>
      </c>
      <c r="BR708" t="s">
        <v>91</v>
      </c>
      <c r="BS708" t="s">
        <v>9651</v>
      </c>
      <c r="BT708" t="str">
        <f>HYPERLINK("https%3A%2F%2Fwww.webofscience.com%2Fwos%2Fwoscc%2Ffull-record%2FWOS:000168455500021","View Full Record in Web of Science")</f>
        <v>View Full Record in Web of Science</v>
      </c>
    </row>
    <row r="709" spans="1:72" x14ac:dyDescent="0.15">
      <c r="A709" t="s">
        <v>72</v>
      </c>
      <c r="B709" t="s">
        <v>9652</v>
      </c>
      <c r="C709" t="s">
        <v>74</v>
      </c>
      <c r="D709" t="s">
        <v>74</v>
      </c>
      <c r="E709" t="s">
        <v>74</v>
      </c>
      <c r="F709" t="s">
        <v>9652</v>
      </c>
      <c r="G709" t="s">
        <v>74</v>
      </c>
      <c r="H709" t="s">
        <v>74</v>
      </c>
      <c r="I709" t="s">
        <v>9653</v>
      </c>
      <c r="J709" t="s">
        <v>9654</v>
      </c>
      <c r="K709" t="s">
        <v>74</v>
      </c>
      <c r="L709" t="s">
        <v>74</v>
      </c>
      <c r="M709" t="s">
        <v>77</v>
      </c>
      <c r="N709" t="s">
        <v>96</v>
      </c>
      <c r="O709" t="s">
        <v>74</v>
      </c>
      <c r="P709" t="s">
        <v>74</v>
      </c>
      <c r="Q709" t="s">
        <v>74</v>
      </c>
      <c r="R709" t="s">
        <v>74</v>
      </c>
      <c r="S709" t="s">
        <v>74</v>
      </c>
      <c r="T709" t="s">
        <v>74</v>
      </c>
      <c r="U709" t="s">
        <v>9655</v>
      </c>
      <c r="V709" t="s">
        <v>9656</v>
      </c>
      <c r="W709" t="s">
        <v>2323</v>
      </c>
      <c r="X709" t="s">
        <v>1679</v>
      </c>
      <c r="Y709" t="s">
        <v>74</v>
      </c>
      <c r="Z709" t="s">
        <v>9657</v>
      </c>
      <c r="AA709" t="s">
        <v>9658</v>
      </c>
      <c r="AB709" t="s">
        <v>9659</v>
      </c>
      <c r="AC709" t="s">
        <v>74</v>
      </c>
      <c r="AD709" t="s">
        <v>74</v>
      </c>
      <c r="AE709" t="s">
        <v>74</v>
      </c>
      <c r="AF709" t="s">
        <v>74</v>
      </c>
      <c r="AG709">
        <v>78</v>
      </c>
      <c r="AH709">
        <v>879</v>
      </c>
      <c r="AI709">
        <v>995</v>
      </c>
      <c r="AJ709">
        <v>3</v>
      </c>
      <c r="AK709">
        <v>270</v>
      </c>
      <c r="AL709" t="s">
        <v>248</v>
      </c>
      <c r="AM709" t="s">
        <v>204</v>
      </c>
      <c r="AN709" t="s">
        <v>249</v>
      </c>
      <c r="AO709" t="s">
        <v>9660</v>
      </c>
      <c r="AP709" t="s">
        <v>9661</v>
      </c>
      <c r="AQ709" t="s">
        <v>74</v>
      </c>
      <c r="AR709" t="s">
        <v>9654</v>
      </c>
      <c r="AS709" t="s">
        <v>9662</v>
      </c>
      <c r="AT709" t="s">
        <v>9036</v>
      </c>
      <c r="AU709">
        <v>2001</v>
      </c>
      <c r="AV709">
        <v>88</v>
      </c>
      <c r="AW709">
        <v>4</v>
      </c>
      <c r="AX709" t="s">
        <v>74</v>
      </c>
      <c r="AY709" t="s">
        <v>74</v>
      </c>
      <c r="AZ709" t="s">
        <v>74</v>
      </c>
      <c r="BA709" t="s">
        <v>74</v>
      </c>
      <c r="BB709">
        <v>137</v>
      </c>
      <c r="BC709">
        <v>146</v>
      </c>
      <c r="BD709" t="s">
        <v>74</v>
      </c>
      <c r="BE709" t="s">
        <v>74</v>
      </c>
      <c r="BF709" t="s">
        <v>74</v>
      </c>
      <c r="BG709" t="s">
        <v>74</v>
      </c>
      <c r="BH709" t="s">
        <v>74</v>
      </c>
      <c r="BI709">
        <v>10</v>
      </c>
      <c r="BJ709" t="s">
        <v>575</v>
      </c>
      <c r="BK709" t="s">
        <v>88</v>
      </c>
      <c r="BL709" t="s">
        <v>576</v>
      </c>
      <c r="BM709" t="s">
        <v>9663</v>
      </c>
      <c r="BN709">
        <v>11480701</v>
      </c>
      <c r="BO709" t="s">
        <v>74</v>
      </c>
      <c r="BP709" t="s">
        <v>74</v>
      </c>
      <c r="BQ709" t="s">
        <v>74</v>
      </c>
      <c r="BR709" t="s">
        <v>91</v>
      </c>
      <c r="BS709" t="s">
        <v>9664</v>
      </c>
      <c r="BT709" t="str">
        <f>HYPERLINK("https%3A%2F%2Fwww.webofscience.com%2Fwos%2Fwoscc%2Ffull-record%2FWOS:000169547500001","View Full Record in Web of Science")</f>
        <v>View Full Record in Web of Science</v>
      </c>
    </row>
    <row r="710" spans="1:72" x14ac:dyDescent="0.15">
      <c r="A710" t="s">
        <v>72</v>
      </c>
      <c r="B710" t="s">
        <v>6277</v>
      </c>
      <c r="C710" t="s">
        <v>74</v>
      </c>
      <c r="D710" t="s">
        <v>74</v>
      </c>
      <c r="E710" t="s">
        <v>74</v>
      </c>
      <c r="F710" t="s">
        <v>6277</v>
      </c>
      <c r="G710" t="s">
        <v>74</v>
      </c>
      <c r="H710" t="s">
        <v>74</v>
      </c>
      <c r="I710" t="s">
        <v>6278</v>
      </c>
      <c r="J710" t="s">
        <v>9665</v>
      </c>
      <c r="K710" t="s">
        <v>74</v>
      </c>
      <c r="L710" t="s">
        <v>74</v>
      </c>
      <c r="M710" t="s">
        <v>77</v>
      </c>
      <c r="N710" t="s">
        <v>435</v>
      </c>
      <c r="O710" t="s">
        <v>9666</v>
      </c>
      <c r="P710" t="s">
        <v>9667</v>
      </c>
      <c r="Q710" t="s">
        <v>9668</v>
      </c>
      <c r="R710" t="s">
        <v>74</v>
      </c>
      <c r="S710" t="s">
        <v>74</v>
      </c>
      <c r="T710" t="s">
        <v>74</v>
      </c>
      <c r="U710" t="s">
        <v>9669</v>
      </c>
      <c r="V710" t="s">
        <v>9670</v>
      </c>
      <c r="W710" t="s">
        <v>9671</v>
      </c>
      <c r="X710" t="s">
        <v>6284</v>
      </c>
      <c r="Y710" t="s">
        <v>9672</v>
      </c>
      <c r="Z710" t="s">
        <v>74</v>
      </c>
      <c r="AA710" t="s">
        <v>74</v>
      </c>
      <c r="AB710" t="s">
        <v>9673</v>
      </c>
      <c r="AC710" t="s">
        <v>74</v>
      </c>
      <c r="AD710" t="s">
        <v>74</v>
      </c>
      <c r="AE710" t="s">
        <v>74</v>
      </c>
      <c r="AF710" t="s">
        <v>74</v>
      </c>
      <c r="AG710">
        <v>25</v>
      </c>
      <c r="AH710">
        <v>0</v>
      </c>
      <c r="AI710">
        <v>0</v>
      </c>
      <c r="AJ710">
        <v>0</v>
      </c>
      <c r="AK710">
        <v>0</v>
      </c>
      <c r="AL710" t="s">
        <v>488</v>
      </c>
      <c r="AM710" t="s">
        <v>350</v>
      </c>
      <c r="AN710" t="s">
        <v>489</v>
      </c>
      <c r="AO710" t="s">
        <v>9674</v>
      </c>
      <c r="AP710" t="s">
        <v>74</v>
      </c>
      <c r="AQ710" t="s">
        <v>74</v>
      </c>
      <c r="AR710" t="s">
        <v>9675</v>
      </c>
      <c r="AS710" t="s">
        <v>9676</v>
      </c>
      <c r="AT710" t="s">
        <v>9036</v>
      </c>
      <c r="AU710">
        <v>2001</v>
      </c>
      <c r="AV710">
        <v>95</v>
      </c>
      <c r="AW710" t="s">
        <v>74</v>
      </c>
      <c r="AX710" t="s">
        <v>74</v>
      </c>
      <c r="AY710" t="s">
        <v>74</v>
      </c>
      <c r="AZ710" t="s">
        <v>74</v>
      </c>
      <c r="BA710" t="s">
        <v>74</v>
      </c>
      <c r="BB710">
        <v>23</v>
      </c>
      <c r="BC710">
        <v>28</v>
      </c>
      <c r="BD710" t="s">
        <v>74</v>
      </c>
      <c r="BE710" t="s">
        <v>9677</v>
      </c>
      <c r="BF710" t="str">
        <f>HYPERLINK("http://dx.doi.org/10.1016/S0920-5632(01)01048-9","http://dx.doi.org/10.1016/S0920-5632(01)01048-9")</f>
        <v>http://dx.doi.org/10.1016/S0920-5632(01)01048-9</v>
      </c>
      <c r="BG710" t="s">
        <v>74</v>
      </c>
      <c r="BH710" t="s">
        <v>74</v>
      </c>
      <c r="BI710">
        <v>6</v>
      </c>
      <c r="BJ710" t="s">
        <v>9678</v>
      </c>
      <c r="BK710" t="s">
        <v>816</v>
      </c>
      <c r="BL710" t="s">
        <v>2453</v>
      </c>
      <c r="BM710" t="s">
        <v>9679</v>
      </c>
      <c r="BN710" t="s">
        <v>74</v>
      </c>
      <c r="BO710" t="s">
        <v>74</v>
      </c>
      <c r="BP710" t="s">
        <v>74</v>
      </c>
      <c r="BQ710" t="s">
        <v>74</v>
      </c>
      <c r="BR710" t="s">
        <v>91</v>
      </c>
      <c r="BS710" t="s">
        <v>9680</v>
      </c>
      <c r="BT710" t="str">
        <f>HYPERLINK("https%3A%2F%2Fwww.webofscience.com%2Fwos%2Fwoscc%2Ffull-record%2FWOS:000167811600005","View Full Record in Web of Science")</f>
        <v>View Full Record in Web of Science</v>
      </c>
    </row>
    <row r="711" spans="1:72" x14ac:dyDescent="0.15">
      <c r="A711" t="s">
        <v>72</v>
      </c>
      <c r="B711" t="s">
        <v>9681</v>
      </c>
      <c r="C711" t="s">
        <v>74</v>
      </c>
      <c r="D711" t="s">
        <v>74</v>
      </c>
      <c r="E711" t="s">
        <v>74</v>
      </c>
      <c r="F711" t="s">
        <v>9681</v>
      </c>
      <c r="G711" t="s">
        <v>74</v>
      </c>
      <c r="H711" t="s">
        <v>74</v>
      </c>
      <c r="I711" t="s">
        <v>9682</v>
      </c>
      <c r="J711" t="s">
        <v>9683</v>
      </c>
      <c r="K711" t="s">
        <v>74</v>
      </c>
      <c r="L711" t="s">
        <v>74</v>
      </c>
      <c r="M711" t="s">
        <v>77</v>
      </c>
      <c r="N711" t="s">
        <v>120</v>
      </c>
      <c r="O711" t="s">
        <v>74</v>
      </c>
      <c r="P711" t="s">
        <v>74</v>
      </c>
      <c r="Q711" t="s">
        <v>74</v>
      </c>
      <c r="R711" t="s">
        <v>74</v>
      </c>
      <c r="S711" t="s">
        <v>74</v>
      </c>
      <c r="T711" t="s">
        <v>9684</v>
      </c>
      <c r="U711" t="s">
        <v>9685</v>
      </c>
      <c r="V711" t="s">
        <v>9686</v>
      </c>
      <c r="W711" t="s">
        <v>9687</v>
      </c>
      <c r="X711" t="s">
        <v>9688</v>
      </c>
      <c r="Y711" t="s">
        <v>9689</v>
      </c>
      <c r="Z711" t="s">
        <v>9690</v>
      </c>
      <c r="AA711" t="s">
        <v>74</v>
      </c>
      <c r="AB711" t="s">
        <v>74</v>
      </c>
      <c r="AC711" t="s">
        <v>74</v>
      </c>
      <c r="AD711" t="s">
        <v>74</v>
      </c>
      <c r="AE711" t="s">
        <v>74</v>
      </c>
      <c r="AF711" t="s">
        <v>74</v>
      </c>
      <c r="AG711">
        <v>31</v>
      </c>
      <c r="AH711">
        <v>4</v>
      </c>
      <c r="AI711">
        <v>5</v>
      </c>
      <c r="AJ711">
        <v>0</v>
      </c>
      <c r="AK711">
        <v>0</v>
      </c>
      <c r="AL711" t="s">
        <v>9691</v>
      </c>
      <c r="AM711" t="s">
        <v>9692</v>
      </c>
      <c r="AN711" t="s">
        <v>9693</v>
      </c>
      <c r="AO711" t="s">
        <v>9694</v>
      </c>
      <c r="AP711" t="s">
        <v>74</v>
      </c>
      <c r="AQ711" t="s">
        <v>74</v>
      </c>
      <c r="AR711" t="s">
        <v>9683</v>
      </c>
      <c r="AS711" t="s">
        <v>9695</v>
      </c>
      <c r="AT711" t="s">
        <v>9036</v>
      </c>
      <c r="AU711">
        <v>2001</v>
      </c>
      <c r="AV711">
        <v>54</v>
      </c>
      <c r="AW711">
        <v>2</v>
      </c>
      <c r="AX711" t="s">
        <v>74</v>
      </c>
      <c r="AY711" t="s">
        <v>74</v>
      </c>
      <c r="AZ711" t="s">
        <v>74</v>
      </c>
      <c r="BA711" t="s">
        <v>74</v>
      </c>
      <c r="BB711">
        <v>143</v>
      </c>
      <c r="BC711">
        <v>165</v>
      </c>
      <c r="BD711" t="s">
        <v>74</v>
      </c>
      <c r="BE711" t="s">
        <v>9696</v>
      </c>
      <c r="BF711" t="str">
        <f>HYPERLINK("http://dx.doi.org/10.1080/00785236.2001.10409462","http://dx.doi.org/10.1080/00785236.2001.10409462")</f>
        <v>http://dx.doi.org/10.1080/00785236.2001.10409462</v>
      </c>
      <c r="BG711" t="s">
        <v>74</v>
      </c>
      <c r="BH711" t="s">
        <v>74</v>
      </c>
      <c r="BI711">
        <v>23</v>
      </c>
      <c r="BJ711" t="s">
        <v>323</v>
      </c>
      <c r="BK711" t="s">
        <v>88</v>
      </c>
      <c r="BL711" t="s">
        <v>323</v>
      </c>
      <c r="BM711" t="s">
        <v>9697</v>
      </c>
      <c r="BN711" t="s">
        <v>74</v>
      </c>
      <c r="BO711" t="s">
        <v>74</v>
      </c>
      <c r="BP711" t="s">
        <v>74</v>
      </c>
      <c r="BQ711" t="s">
        <v>74</v>
      </c>
      <c r="BR711" t="s">
        <v>91</v>
      </c>
      <c r="BS711" t="s">
        <v>9698</v>
      </c>
      <c r="BT711" t="str">
        <f>HYPERLINK("https%3A%2F%2Fwww.webofscience.com%2Fwos%2Fwoscc%2Ffull-record%2FWOS:000168973500006","View Full Record in Web of Science")</f>
        <v>View Full Record in Web of Science</v>
      </c>
    </row>
    <row r="712" spans="1:72" x14ac:dyDescent="0.15">
      <c r="A712" t="s">
        <v>72</v>
      </c>
      <c r="B712" t="s">
        <v>9699</v>
      </c>
      <c r="C712" t="s">
        <v>74</v>
      </c>
      <c r="D712" t="s">
        <v>74</v>
      </c>
      <c r="E712" t="s">
        <v>74</v>
      </c>
      <c r="F712" t="s">
        <v>9699</v>
      </c>
      <c r="G712" t="s">
        <v>74</v>
      </c>
      <c r="H712" t="s">
        <v>74</v>
      </c>
      <c r="I712" t="s">
        <v>9700</v>
      </c>
      <c r="J712" t="s">
        <v>141</v>
      </c>
      <c r="K712" t="s">
        <v>74</v>
      </c>
      <c r="L712" t="s">
        <v>74</v>
      </c>
      <c r="M712" t="s">
        <v>77</v>
      </c>
      <c r="N712" t="s">
        <v>120</v>
      </c>
      <c r="O712" t="s">
        <v>74</v>
      </c>
      <c r="P712" t="s">
        <v>74</v>
      </c>
      <c r="Q712" t="s">
        <v>74</v>
      </c>
      <c r="R712" t="s">
        <v>74</v>
      </c>
      <c r="S712" t="s">
        <v>74</v>
      </c>
      <c r="T712" t="s">
        <v>74</v>
      </c>
      <c r="U712" t="s">
        <v>9701</v>
      </c>
      <c r="V712" t="s">
        <v>9702</v>
      </c>
      <c r="W712" t="s">
        <v>9703</v>
      </c>
      <c r="X712" t="s">
        <v>9704</v>
      </c>
      <c r="Y712" t="s">
        <v>9705</v>
      </c>
      <c r="Z712" t="s">
        <v>74</v>
      </c>
      <c r="AA712" t="s">
        <v>9706</v>
      </c>
      <c r="AB712" t="s">
        <v>9707</v>
      </c>
      <c r="AC712" t="s">
        <v>74</v>
      </c>
      <c r="AD712" t="s">
        <v>74</v>
      </c>
      <c r="AE712" t="s">
        <v>74</v>
      </c>
      <c r="AF712" t="s">
        <v>74</v>
      </c>
      <c r="AG712">
        <v>76</v>
      </c>
      <c r="AH712">
        <v>15</v>
      </c>
      <c r="AI712">
        <v>16</v>
      </c>
      <c r="AJ712">
        <v>0</v>
      </c>
      <c r="AK712">
        <v>3</v>
      </c>
      <c r="AL712" t="s">
        <v>149</v>
      </c>
      <c r="AM712" t="s">
        <v>150</v>
      </c>
      <c r="AN712" t="s">
        <v>151</v>
      </c>
      <c r="AO712" t="s">
        <v>152</v>
      </c>
      <c r="AP712" t="s">
        <v>74</v>
      </c>
      <c r="AQ712" t="s">
        <v>74</v>
      </c>
      <c r="AR712" t="s">
        <v>141</v>
      </c>
      <c r="AS712" t="s">
        <v>154</v>
      </c>
      <c r="AT712" t="s">
        <v>9036</v>
      </c>
      <c r="AU712">
        <v>2001</v>
      </c>
      <c r="AV712">
        <v>16</v>
      </c>
      <c r="AW712">
        <v>2</v>
      </c>
      <c r="AX712" t="s">
        <v>74</v>
      </c>
      <c r="AY712" t="s">
        <v>74</v>
      </c>
      <c r="AZ712" t="s">
        <v>74</v>
      </c>
      <c r="BA712" t="s">
        <v>74</v>
      </c>
      <c r="BB712">
        <v>212</v>
      </c>
      <c r="BC712">
        <v>225</v>
      </c>
      <c r="BD712" t="s">
        <v>74</v>
      </c>
      <c r="BE712" t="s">
        <v>9708</v>
      </c>
      <c r="BF712" t="str">
        <f>HYPERLINK("http://dx.doi.org/10.1029/2000PA000504","http://dx.doi.org/10.1029/2000PA000504")</f>
        <v>http://dx.doi.org/10.1029/2000PA000504</v>
      </c>
      <c r="BG712" t="s">
        <v>74</v>
      </c>
      <c r="BH712" t="s">
        <v>74</v>
      </c>
      <c r="BI712">
        <v>14</v>
      </c>
      <c r="BJ712" t="s">
        <v>156</v>
      </c>
      <c r="BK712" t="s">
        <v>88</v>
      </c>
      <c r="BL712" t="s">
        <v>157</v>
      </c>
      <c r="BM712" t="s">
        <v>9709</v>
      </c>
      <c r="BN712" t="s">
        <v>74</v>
      </c>
      <c r="BO712" t="s">
        <v>115</v>
      </c>
      <c r="BP712" t="s">
        <v>74</v>
      </c>
      <c r="BQ712" t="s">
        <v>74</v>
      </c>
      <c r="BR712" t="s">
        <v>91</v>
      </c>
      <c r="BS712" t="s">
        <v>9710</v>
      </c>
      <c r="BT712" t="str">
        <f>HYPERLINK("https%3A%2F%2Fwww.webofscience.com%2Fwos%2Fwoscc%2Ffull-record%2FWOS:000167693300007","View Full Record in Web of Science")</f>
        <v>View Full Record in Web of Science</v>
      </c>
    </row>
    <row r="713" spans="1:72" x14ac:dyDescent="0.15">
      <c r="A713" t="s">
        <v>72</v>
      </c>
      <c r="B713" t="s">
        <v>9711</v>
      </c>
      <c r="C713" t="s">
        <v>74</v>
      </c>
      <c r="D713" t="s">
        <v>74</v>
      </c>
      <c r="E713" t="s">
        <v>74</v>
      </c>
      <c r="F713" t="s">
        <v>9711</v>
      </c>
      <c r="G713" t="s">
        <v>74</v>
      </c>
      <c r="H713" t="s">
        <v>74</v>
      </c>
      <c r="I713" t="s">
        <v>9712</v>
      </c>
      <c r="J713" t="s">
        <v>2714</v>
      </c>
      <c r="K713" t="s">
        <v>74</v>
      </c>
      <c r="L713" t="s">
        <v>74</v>
      </c>
      <c r="M713" t="s">
        <v>77</v>
      </c>
      <c r="N713" t="s">
        <v>120</v>
      </c>
      <c r="O713" t="s">
        <v>74</v>
      </c>
      <c r="P713" t="s">
        <v>74</v>
      </c>
      <c r="Q713" t="s">
        <v>74</v>
      </c>
      <c r="R713" t="s">
        <v>74</v>
      </c>
      <c r="S713" t="s">
        <v>74</v>
      </c>
      <c r="T713" t="s">
        <v>74</v>
      </c>
      <c r="U713" t="s">
        <v>9713</v>
      </c>
      <c r="V713" t="s">
        <v>9714</v>
      </c>
      <c r="W713" t="s">
        <v>9715</v>
      </c>
      <c r="X713" t="s">
        <v>9716</v>
      </c>
      <c r="Y713" t="s">
        <v>2719</v>
      </c>
      <c r="Z713" t="s">
        <v>9717</v>
      </c>
      <c r="AA713" t="s">
        <v>74</v>
      </c>
      <c r="AB713" t="s">
        <v>74</v>
      </c>
      <c r="AC713" t="s">
        <v>74</v>
      </c>
      <c r="AD713" t="s">
        <v>74</v>
      </c>
      <c r="AE713" t="s">
        <v>74</v>
      </c>
      <c r="AF713" t="s">
        <v>74</v>
      </c>
      <c r="AG713">
        <v>39</v>
      </c>
      <c r="AH713">
        <v>88</v>
      </c>
      <c r="AI713">
        <v>95</v>
      </c>
      <c r="AJ713">
        <v>1</v>
      </c>
      <c r="AK713">
        <v>21</v>
      </c>
      <c r="AL713" t="s">
        <v>1247</v>
      </c>
      <c r="AM713" t="s">
        <v>1248</v>
      </c>
      <c r="AN713" t="s">
        <v>1249</v>
      </c>
      <c r="AO713" t="s">
        <v>2723</v>
      </c>
      <c r="AP713" t="s">
        <v>2724</v>
      </c>
      <c r="AQ713" t="s">
        <v>74</v>
      </c>
      <c r="AR713" t="s">
        <v>2725</v>
      </c>
      <c r="AS713" t="s">
        <v>2726</v>
      </c>
      <c r="AT713" t="s">
        <v>9036</v>
      </c>
      <c r="AU713">
        <v>2001</v>
      </c>
      <c r="AV713">
        <v>73</v>
      </c>
      <c r="AW713">
        <v>4</v>
      </c>
      <c r="AX713" t="s">
        <v>74</v>
      </c>
      <c r="AY713" t="s">
        <v>74</v>
      </c>
      <c r="AZ713" t="s">
        <v>74</v>
      </c>
      <c r="BA713" t="s">
        <v>74</v>
      </c>
      <c r="BB713">
        <v>447</v>
      </c>
      <c r="BC713">
        <v>451</v>
      </c>
      <c r="BD713" t="s">
        <v>74</v>
      </c>
      <c r="BE713" t="s">
        <v>9718</v>
      </c>
      <c r="BF713" t="str">
        <f>HYPERLINK("http://dx.doi.org/10.1562/0031-8655(2001)073&lt;0447:THOTUR&gt;2.0.CO;2","http://dx.doi.org/10.1562/0031-8655(2001)073&lt;0447:THOTUR&gt;2.0.CO;2")</f>
        <v>http://dx.doi.org/10.1562/0031-8655(2001)073&lt;0447:THOTUR&gt;2.0.CO;2</v>
      </c>
      <c r="BG713" t="s">
        <v>74</v>
      </c>
      <c r="BH713" t="s">
        <v>74</v>
      </c>
      <c r="BI713">
        <v>5</v>
      </c>
      <c r="BJ713" t="s">
        <v>2728</v>
      </c>
      <c r="BK713" t="s">
        <v>88</v>
      </c>
      <c r="BL713" t="s">
        <v>2728</v>
      </c>
      <c r="BM713" t="s">
        <v>9719</v>
      </c>
      <c r="BN713">
        <v>11332042</v>
      </c>
      <c r="BO713" t="s">
        <v>74</v>
      </c>
      <c r="BP713" t="s">
        <v>74</v>
      </c>
      <c r="BQ713" t="s">
        <v>74</v>
      </c>
      <c r="BR713" t="s">
        <v>91</v>
      </c>
      <c r="BS713" t="s">
        <v>9720</v>
      </c>
      <c r="BT713" t="str">
        <f>HYPERLINK("https%3A%2F%2Fwww.webofscience.com%2Fwos%2Fwoscc%2Ffull-record%2FWOS:000168295500016","View Full Record in Web of Science")</f>
        <v>View Full Record in Web of Science</v>
      </c>
    </row>
    <row r="714" spans="1:72" x14ac:dyDescent="0.15">
      <c r="A714" t="s">
        <v>72</v>
      </c>
      <c r="B714" t="s">
        <v>9721</v>
      </c>
      <c r="C714" t="s">
        <v>74</v>
      </c>
      <c r="D714" t="s">
        <v>74</v>
      </c>
      <c r="E714" t="s">
        <v>74</v>
      </c>
      <c r="F714" t="s">
        <v>9721</v>
      </c>
      <c r="G714" t="s">
        <v>74</v>
      </c>
      <c r="H714" t="s">
        <v>74</v>
      </c>
      <c r="I714" t="s">
        <v>9722</v>
      </c>
      <c r="J714" t="s">
        <v>194</v>
      </c>
      <c r="K714" t="s">
        <v>74</v>
      </c>
      <c r="L714" t="s">
        <v>74</v>
      </c>
      <c r="M714" t="s">
        <v>77</v>
      </c>
      <c r="N714" t="s">
        <v>120</v>
      </c>
      <c r="O714" t="s">
        <v>74</v>
      </c>
      <c r="P714" t="s">
        <v>74</v>
      </c>
      <c r="Q714" t="s">
        <v>74</v>
      </c>
      <c r="R714" t="s">
        <v>74</v>
      </c>
      <c r="S714" t="s">
        <v>74</v>
      </c>
      <c r="T714" t="s">
        <v>74</v>
      </c>
      <c r="U714" t="s">
        <v>9723</v>
      </c>
      <c r="V714" t="s">
        <v>9724</v>
      </c>
      <c r="W714" t="s">
        <v>9725</v>
      </c>
      <c r="X714" t="s">
        <v>7462</v>
      </c>
      <c r="Y714" t="s">
        <v>9726</v>
      </c>
      <c r="Z714" t="s">
        <v>74</v>
      </c>
      <c r="AA714" t="s">
        <v>74</v>
      </c>
      <c r="AB714" t="s">
        <v>9727</v>
      </c>
      <c r="AC714" t="s">
        <v>74</v>
      </c>
      <c r="AD714" t="s">
        <v>74</v>
      </c>
      <c r="AE714" t="s">
        <v>74</v>
      </c>
      <c r="AF714" t="s">
        <v>74</v>
      </c>
      <c r="AG714">
        <v>31</v>
      </c>
      <c r="AH714">
        <v>5</v>
      </c>
      <c r="AI714">
        <v>5</v>
      </c>
      <c r="AJ714">
        <v>0</v>
      </c>
      <c r="AK714">
        <v>2</v>
      </c>
      <c r="AL714" t="s">
        <v>203</v>
      </c>
      <c r="AM714" t="s">
        <v>204</v>
      </c>
      <c r="AN714" t="s">
        <v>205</v>
      </c>
      <c r="AO714" t="s">
        <v>206</v>
      </c>
      <c r="AP714" t="s">
        <v>74</v>
      </c>
      <c r="AQ714" t="s">
        <v>74</v>
      </c>
      <c r="AR714" t="s">
        <v>207</v>
      </c>
      <c r="AS714" t="s">
        <v>208</v>
      </c>
      <c r="AT714" t="s">
        <v>9036</v>
      </c>
      <c r="AU714">
        <v>2001</v>
      </c>
      <c r="AV714">
        <v>24</v>
      </c>
      <c r="AW714">
        <v>4</v>
      </c>
      <c r="AX714" t="s">
        <v>74</v>
      </c>
      <c r="AY714" t="s">
        <v>74</v>
      </c>
      <c r="AZ714" t="s">
        <v>74</v>
      </c>
      <c r="BA714" t="s">
        <v>74</v>
      </c>
      <c r="BB714">
        <v>222</v>
      </c>
      <c r="BC714">
        <v>230</v>
      </c>
      <c r="BD714" t="s">
        <v>74</v>
      </c>
      <c r="BE714" t="s">
        <v>9728</v>
      </c>
      <c r="BF714" t="str">
        <f>HYPERLINK("http://dx.doi.org/10.1007/s003000000200","http://dx.doi.org/10.1007/s003000000200")</f>
        <v>http://dx.doi.org/10.1007/s003000000200</v>
      </c>
      <c r="BG714" t="s">
        <v>74</v>
      </c>
      <c r="BH714" t="s">
        <v>74</v>
      </c>
      <c r="BI714">
        <v>9</v>
      </c>
      <c r="BJ714" t="s">
        <v>209</v>
      </c>
      <c r="BK714" t="s">
        <v>88</v>
      </c>
      <c r="BL714" t="s">
        <v>210</v>
      </c>
      <c r="BM714" t="s">
        <v>9729</v>
      </c>
      <c r="BN714" t="s">
        <v>74</v>
      </c>
      <c r="BO714" t="s">
        <v>74</v>
      </c>
      <c r="BP714" t="s">
        <v>74</v>
      </c>
      <c r="BQ714" t="s">
        <v>74</v>
      </c>
      <c r="BR714" t="s">
        <v>91</v>
      </c>
      <c r="BS714" t="s">
        <v>9730</v>
      </c>
      <c r="BT714" t="str">
        <f>HYPERLINK("https%3A%2F%2Fwww.webofscience.com%2Fwos%2Fwoscc%2Ffull-record%2FWOS:000170663600002","View Full Record in Web of Science")</f>
        <v>View Full Record in Web of Science</v>
      </c>
    </row>
    <row r="715" spans="1:72" x14ac:dyDescent="0.15">
      <c r="A715" t="s">
        <v>72</v>
      </c>
      <c r="B715" t="s">
        <v>9731</v>
      </c>
      <c r="C715" t="s">
        <v>74</v>
      </c>
      <c r="D715" t="s">
        <v>74</v>
      </c>
      <c r="E715" t="s">
        <v>74</v>
      </c>
      <c r="F715" t="s">
        <v>9731</v>
      </c>
      <c r="G715" t="s">
        <v>74</v>
      </c>
      <c r="H715" t="s">
        <v>74</v>
      </c>
      <c r="I715" t="s">
        <v>9732</v>
      </c>
      <c r="J715" t="s">
        <v>194</v>
      </c>
      <c r="K715" t="s">
        <v>74</v>
      </c>
      <c r="L715" t="s">
        <v>74</v>
      </c>
      <c r="M715" t="s">
        <v>77</v>
      </c>
      <c r="N715" t="s">
        <v>120</v>
      </c>
      <c r="O715" t="s">
        <v>74</v>
      </c>
      <c r="P715" t="s">
        <v>74</v>
      </c>
      <c r="Q715" t="s">
        <v>74</v>
      </c>
      <c r="R715" t="s">
        <v>74</v>
      </c>
      <c r="S715" t="s">
        <v>74</v>
      </c>
      <c r="T715" t="s">
        <v>74</v>
      </c>
      <c r="U715" t="s">
        <v>9733</v>
      </c>
      <c r="V715" t="s">
        <v>9734</v>
      </c>
      <c r="W715" t="s">
        <v>9735</v>
      </c>
      <c r="X715" t="s">
        <v>9736</v>
      </c>
      <c r="Y715" t="s">
        <v>9737</v>
      </c>
      <c r="Z715" t="s">
        <v>9738</v>
      </c>
      <c r="AA715" t="s">
        <v>74</v>
      </c>
      <c r="AB715" t="s">
        <v>74</v>
      </c>
      <c r="AC715" t="s">
        <v>74</v>
      </c>
      <c r="AD715" t="s">
        <v>74</v>
      </c>
      <c r="AE715" t="s">
        <v>74</v>
      </c>
      <c r="AF715" t="s">
        <v>74</v>
      </c>
      <c r="AG715">
        <v>26</v>
      </c>
      <c r="AH715">
        <v>8</v>
      </c>
      <c r="AI715">
        <v>9</v>
      </c>
      <c r="AJ715">
        <v>0</v>
      </c>
      <c r="AK715">
        <v>6</v>
      </c>
      <c r="AL715" t="s">
        <v>248</v>
      </c>
      <c r="AM715" t="s">
        <v>204</v>
      </c>
      <c r="AN715" t="s">
        <v>249</v>
      </c>
      <c r="AO715" t="s">
        <v>206</v>
      </c>
      <c r="AP715" t="s">
        <v>250</v>
      </c>
      <c r="AQ715" t="s">
        <v>74</v>
      </c>
      <c r="AR715" t="s">
        <v>207</v>
      </c>
      <c r="AS715" t="s">
        <v>208</v>
      </c>
      <c r="AT715" t="s">
        <v>9036</v>
      </c>
      <c r="AU715">
        <v>2001</v>
      </c>
      <c r="AV715">
        <v>24</v>
      </c>
      <c r="AW715">
        <v>4</v>
      </c>
      <c r="AX715" t="s">
        <v>74</v>
      </c>
      <c r="AY715" t="s">
        <v>74</v>
      </c>
      <c r="AZ715" t="s">
        <v>74</v>
      </c>
      <c r="BA715" t="s">
        <v>74</v>
      </c>
      <c r="BB715">
        <v>239</v>
      </c>
      <c r="BC715">
        <v>243</v>
      </c>
      <c r="BD715" t="s">
        <v>74</v>
      </c>
      <c r="BE715" t="s">
        <v>9739</v>
      </c>
      <c r="BF715" t="str">
        <f>HYPERLINK("http://dx.doi.org/10.1007/s003000000203","http://dx.doi.org/10.1007/s003000000203")</f>
        <v>http://dx.doi.org/10.1007/s003000000203</v>
      </c>
      <c r="BG715" t="s">
        <v>74</v>
      </c>
      <c r="BH715" t="s">
        <v>74</v>
      </c>
      <c r="BI715">
        <v>5</v>
      </c>
      <c r="BJ715" t="s">
        <v>209</v>
      </c>
      <c r="BK715" t="s">
        <v>88</v>
      </c>
      <c r="BL715" t="s">
        <v>210</v>
      </c>
      <c r="BM715" t="s">
        <v>9729</v>
      </c>
      <c r="BN715" t="s">
        <v>74</v>
      </c>
      <c r="BO715" t="s">
        <v>74</v>
      </c>
      <c r="BP715" t="s">
        <v>74</v>
      </c>
      <c r="BQ715" t="s">
        <v>74</v>
      </c>
      <c r="BR715" t="s">
        <v>91</v>
      </c>
      <c r="BS715" t="s">
        <v>9740</v>
      </c>
      <c r="BT715" t="str">
        <f>HYPERLINK("https%3A%2F%2Fwww.webofscience.com%2Fwos%2Fwoscc%2Ffull-record%2FWOS:000170663600004","View Full Record in Web of Science")</f>
        <v>View Full Record in Web of Science</v>
      </c>
    </row>
    <row r="716" spans="1:72" x14ac:dyDescent="0.15">
      <c r="A716" t="s">
        <v>72</v>
      </c>
      <c r="B716" t="s">
        <v>9741</v>
      </c>
      <c r="C716" t="s">
        <v>74</v>
      </c>
      <c r="D716" t="s">
        <v>74</v>
      </c>
      <c r="E716" t="s">
        <v>74</v>
      </c>
      <c r="F716" t="s">
        <v>9741</v>
      </c>
      <c r="G716" t="s">
        <v>74</v>
      </c>
      <c r="H716" t="s">
        <v>74</v>
      </c>
      <c r="I716" t="s">
        <v>9742</v>
      </c>
      <c r="J716" t="s">
        <v>194</v>
      </c>
      <c r="K716" t="s">
        <v>74</v>
      </c>
      <c r="L716" t="s">
        <v>74</v>
      </c>
      <c r="M716" t="s">
        <v>77</v>
      </c>
      <c r="N716" t="s">
        <v>120</v>
      </c>
      <c r="O716" t="s">
        <v>74</v>
      </c>
      <c r="P716" t="s">
        <v>74</v>
      </c>
      <c r="Q716" t="s">
        <v>74</v>
      </c>
      <c r="R716" t="s">
        <v>74</v>
      </c>
      <c r="S716" t="s">
        <v>74</v>
      </c>
      <c r="T716" t="s">
        <v>74</v>
      </c>
      <c r="U716" t="s">
        <v>9743</v>
      </c>
      <c r="V716" t="s">
        <v>9744</v>
      </c>
      <c r="W716" t="s">
        <v>9745</v>
      </c>
      <c r="X716" t="s">
        <v>9746</v>
      </c>
      <c r="Y716" t="s">
        <v>9747</v>
      </c>
      <c r="Z716" t="s">
        <v>9748</v>
      </c>
      <c r="AA716" t="s">
        <v>74</v>
      </c>
      <c r="AB716" t="s">
        <v>9749</v>
      </c>
      <c r="AC716" t="s">
        <v>74</v>
      </c>
      <c r="AD716" t="s">
        <v>74</v>
      </c>
      <c r="AE716" t="s">
        <v>74</v>
      </c>
      <c r="AF716" t="s">
        <v>74</v>
      </c>
      <c r="AG716">
        <v>64</v>
      </c>
      <c r="AH716">
        <v>32</v>
      </c>
      <c r="AI716">
        <v>34</v>
      </c>
      <c r="AJ716">
        <v>1</v>
      </c>
      <c r="AK716">
        <v>10</v>
      </c>
      <c r="AL716" t="s">
        <v>248</v>
      </c>
      <c r="AM716" t="s">
        <v>204</v>
      </c>
      <c r="AN716" t="s">
        <v>1622</v>
      </c>
      <c r="AO716" t="s">
        <v>206</v>
      </c>
      <c r="AP716" t="s">
        <v>74</v>
      </c>
      <c r="AQ716" t="s">
        <v>74</v>
      </c>
      <c r="AR716" t="s">
        <v>207</v>
      </c>
      <c r="AS716" t="s">
        <v>208</v>
      </c>
      <c r="AT716" t="s">
        <v>9036</v>
      </c>
      <c r="AU716">
        <v>2001</v>
      </c>
      <c r="AV716">
        <v>24</v>
      </c>
      <c r="AW716">
        <v>4</v>
      </c>
      <c r="AX716" t="s">
        <v>74</v>
      </c>
      <c r="AY716" t="s">
        <v>74</v>
      </c>
      <c r="AZ716" t="s">
        <v>74</v>
      </c>
      <c r="BA716" t="s">
        <v>74</v>
      </c>
      <c r="BB716">
        <v>244</v>
      </c>
      <c r="BC716">
        <v>251</v>
      </c>
      <c r="BD716" t="s">
        <v>74</v>
      </c>
      <c r="BE716" t="s">
        <v>9750</v>
      </c>
      <c r="BF716" t="str">
        <f>HYPERLINK("http://dx.doi.org/10.1007/s003000000204","http://dx.doi.org/10.1007/s003000000204")</f>
        <v>http://dx.doi.org/10.1007/s003000000204</v>
      </c>
      <c r="BG716" t="s">
        <v>74</v>
      </c>
      <c r="BH716" t="s">
        <v>74</v>
      </c>
      <c r="BI716">
        <v>8</v>
      </c>
      <c r="BJ716" t="s">
        <v>209</v>
      </c>
      <c r="BK716" t="s">
        <v>88</v>
      </c>
      <c r="BL716" t="s">
        <v>210</v>
      </c>
      <c r="BM716" t="s">
        <v>9729</v>
      </c>
      <c r="BN716" t="s">
        <v>74</v>
      </c>
      <c r="BO716" t="s">
        <v>74</v>
      </c>
      <c r="BP716" t="s">
        <v>74</v>
      </c>
      <c r="BQ716" t="s">
        <v>74</v>
      </c>
      <c r="BR716" t="s">
        <v>91</v>
      </c>
      <c r="BS716" t="s">
        <v>9751</v>
      </c>
      <c r="BT716" t="str">
        <f>HYPERLINK("https%3A%2F%2Fwww.webofscience.com%2Fwos%2Fwoscc%2Ffull-record%2FWOS:000170663600005","View Full Record in Web of Science")</f>
        <v>View Full Record in Web of Science</v>
      </c>
    </row>
    <row r="717" spans="1:72" x14ac:dyDescent="0.15">
      <c r="A717" t="s">
        <v>72</v>
      </c>
      <c r="B717" t="s">
        <v>9752</v>
      </c>
      <c r="C717" t="s">
        <v>74</v>
      </c>
      <c r="D717" t="s">
        <v>74</v>
      </c>
      <c r="E717" t="s">
        <v>74</v>
      </c>
      <c r="F717" t="s">
        <v>9752</v>
      </c>
      <c r="G717" t="s">
        <v>74</v>
      </c>
      <c r="H717" t="s">
        <v>74</v>
      </c>
      <c r="I717" t="s">
        <v>9753</v>
      </c>
      <c r="J717" t="s">
        <v>194</v>
      </c>
      <c r="K717" t="s">
        <v>74</v>
      </c>
      <c r="L717" t="s">
        <v>74</v>
      </c>
      <c r="M717" t="s">
        <v>77</v>
      </c>
      <c r="N717" t="s">
        <v>120</v>
      </c>
      <c r="O717" t="s">
        <v>74</v>
      </c>
      <c r="P717" t="s">
        <v>74</v>
      </c>
      <c r="Q717" t="s">
        <v>74</v>
      </c>
      <c r="R717" t="s">
        <v>74</v>
      </c>
      <c r="S717" t="s">
        <v>74</v>
      </c>
      <c r="T717" t="s">
        <v>74</v>
      </c>
      <c r="U717" t="s">
        <v>9754</v>
      </c>
      <c r="V717" t="s">
        <v>9755</v>
      </c>
      <c r="W717" t="s">
        <v>9756</v>
      </c>
      <c r="X717" t="s">
        <v>4068</v>
      </c>
      <c r="Y717" t="s">
        <v>9757</v>
      </c>
      <c r="Z717" t="s">
        <v>9758</v>
      </c>
      <c r="AA717" t="s">
        <v>9759</v>
      </c>
      <c r="AB717" t="s">
        <v>9760</v>
      </c>
      <c r="AC717" t="s">
        <v>74</v>
      </c>
      <c r="AD717" t="s">
        <v>74</v>
      </c>
      <c r="AE717" t="s">
        <v>74</v>
      </c>
      <c r="AF717" t="s">
        <v>74</v>
      </c>
      <c r="AG717">
        <v>64</v>
      </c>
      <c r="AH717">
        <v>8</v>
      </c>
      <c r="AI717">
        <v>8</v>
      </c>
      <c r="AJ717">
        <v>1</v>
      </c>
      <c r="AK717">
        <v>8</v>
      </c>
      <c r="AL717" t="s">
        <v>248</v>
      </c>
      <c r="AM717" t="s">
        <v>204</v>
      </c>
      <c r="AN717" t="s">
        <v>249</v>
      </c>
      <c r="AO717" t="s">
        <v>206</v>
      </c>
      <c r="AP717" t="s">
        <v>250</v>
      </c>
      <c r="AQ717" t="s">
        <v>74</v>
      </c>
      <c r="AR717" t="s">
        <v>207</v>
      </c>
      <c r="AS717" t="s">
        <v>208</v>
      </c>
      <c r="AT717" t="s">
        <v>9036</v>
      </c>
      <c r="AU717">
        <v>2001</v>
      </c>
      <c r="AV717">
        <v>24</v>
      </c>
      <c r="AW717">
        <v>4</v>
      </c>
      <c r="AX717" t="s">
        <v>74</v>
      </c>
      <c r="AY717" t="s">
        <v>74</v>
      </c>
      <c r="AZ717" t="s">
        <v>74</v>
      </c>
      <c r="BA717" t="s">
        <v>74</v>
      </c>
      <c r="BB717">
        <v>258</v>
      </c>
      <c r="BC717">
        <v>269</v>
      </c>
      <c r="BD717" t="s">
        <v>74</v>
      </c>
      <c r="BE717" t="s">
        <v>9761</v>
      </c>
      <c r="BF717" t="str">
        <f>HYPERLINK("http://dx.doi.org/10.1007/s003000000206","http://dx.doi.org/10.1007/s003000000206")</f>
        <v>http://dx.doi.org/10.1007/s003000000206</v>
      </c>
      <c r="BG717" t="s">
        <v>74</v>
      </c>
      <c r="BH717" t="s">
        <v>74</v>
      </c>
      <c r="BI717">
        <v>12</v>
      </c>
      <c r="BJ717" t="s">
        <v>209</v>
      </c>
      <c r="BK717" t="s">
        <v>88</v>
      </c>
      <c r="BL717" t="s">
        <v>210</v>
      </c>
      <c r="BM717" t="s">
        <v>9729</v>
      </c>
      <c r="BN717" t="s">
        <v>74</v>
      </c>
      <c r="BO717" t="s">
        <v>74</v>
      </c>
      <c r="BP717" t="s">
        <v>74</v>
      </c>
      <c r="BQ717" t="s">
        <v>74</v>
      </c>
      <c r="BR717" t="s">
        <v>91</v>
      </c>
      <c r="BS717" t="s">
        <v>9762</v>
      </c>
      <c r="BT717" t="str">
        <f>HYPERLINK("https%3A%2F%2Fwww.webofscience.com%2Fwos%2Fwoscc%2Ffull-record%2FWOS:000170663600007","View Full Record in Web of Science")</f>
        <v>View Full Record in Web of Science</v>
      </c>
    </row>
    <row r="718" spans="1:72" x14ac:dyDescent="0.15">
      <c r="A718" t="s">
        <v>72</v>
      </c>
      <c r="B718" t="s">
        <v>9763</v>
      </c>
      <c r="C718" t="s">
        <v>74</v>
      </c>
      <c r="D718" t="s">
        <v>74</v>
      </c>
      <c r="E718" t="s">
        <v>74</v>
      </c>
      <c r="F718" t="s">
        <v>9763</v>
      </c>
      <c r="G718" t="s">
        <v>74</v>
      </c>
      <c r="H718" t="s">
        <v>74</v>
      </c>
      <c r="I718" t="s">
        <v>9764</v>
      </c>
      <c r="J718" t="s">
        <v>2852</v>
      </c>
      <c r="K718" t="s">
        <v>74</v>
      </c>
      <c r="L718" t="s">
        <v>74</v>
      </c>
      <c r="M718" t="s">
        <v>77</v>
      </c>
      <c r="N718" t="s">
        <v>120</v>
      </c>
      <c r="O718" t="s">
        <v>74</v>
      </c>
      <c r="P718" t="s">
        <v>74</v>
      </c>
      <c r="Q718" t="s">
        <v>74</v>
      </c>
      <c r="R718" t="s">
        <v>74</v>
      </c>
      <c r="S718" t="s">
        <v>74</v>
      </c>
      <c r="T718" t="s">
        <v>9765</v>
      </c>
      <c r="U718" t="s">
        <v>9766</v>
      </c>
      <c r="V718" t="s">
        <v>9767</v>
      </c>
      <c r="W718" t="s">
        <v>9768</v>
      </c>
      <c r="X718" t="s">
        <v>9769</v>
      </c>
      <c r="Y718" t="s">
        <v>9770</v>
      </c>
      <c r="Z718" t="s">
        <v>74</v>
      </c>
      <c r="AA718" t="s">
        <v>74</v>
      </c>
      <c r="AB718" t="s">
        <v>74</v>
      </c>
      <c r="AC718" t="s">
        <v>74</v>
      </c>
      <c r="AD718" t="s">
        <v>74</v>
      </c>
      <c r="AE718" t="s">
        <v>74</v>
      </c>
      <c r="AF718" t="s">
        <v>74</v>
      </c>
      <c r="AG718">
        <v>22</v>
      </c>
      <c r="AH718">
        <v>79</v>
      </c>
      <c r="AI718">
        <v>82</v>
      </c>
      <c r="AJ718">
        <v>1</v>
      </c>
      <c r="AK718">
        <v>10</v>
      </c>
      <c r="AL718" t="s">
        <v>2860</v>
      </c>
      <c r="AM718" t="s">
        <v>1190</v>
      </c>
      <c r="AN718" t="s">
        <v>2861</v>
      </c>
      <c r="AO718" t="s">
        <v>2862</v>
      </c>
      <c r="AP718" t="s">
        <v>74</v>
      </c>
      <c r="AQ718" t="s">
        <v>74</v>
      </c>
      <c r="AR718" t="s">
        <v>2863</v>
      </c>
      <c r="AS718" t="s">
        <v>2864</v>
      </c>
      <c r="AT718" t="s">
        <v>9036</v>
      </c>
      <c r="AU718">
        <v>2001</v>
      </c>
      <c r="AV718">
        <v>127</v>
      </c>
      <c r="AW718">
        <v>573</v>
      </c>
      <c r="AX718" t="s">
        <v>2865</v>
      </c>
      <c r="AY718" t="s">
        <v>74</v>
      </c>
      <c r="AZ718" t="s">
        <v>74</v>
      </c>
      <c r="BA718" t="s">
        <v>74</v>
      </c>
      <c r="BB718">
        <v>779</v>
      </c>
      <c r="BC718">
        <v>794</v>
      </c>
      <c r="BD718" t="s">
        <v>74</v>
      </c>
      <c r="BE718" t="s">
        <v>9771</v>
      </c>
      <c r="BF718" t="str">
        <f>HYPERLINK("http://dx.doi.org/10.1256/smsqj.57303","http://dx.doi.org/10.1256/smsqj.57303")</f>
        <v>http://dx.doi.org/10.1256/smsqj.57303</v>
      </c>
      <c r="BG718" t="s">
        <v>74</v>
      </c>
      <c r="BH718" t="s">
        <v>74</v>
      </c>
      <c r="BI718">
        <v>16</v>
      </c>
      <c r="BJ718" t="s">
        <v>538</v>
      </c>
      <c r="BK718" t="s">
        <v>88</v>
      </c>
      <c r="BL718" t="s">
        <v>538</v>
      </c>
      <c r="BM718" t="s">
        <v>9772</v>
      </c>
      <c r="BN718" t="s">
        <v>74</v>
      </c>
      <c r="BO718" t="s">
        <v>74</v>
      </c>
      <c r="BP718" t="s">
        <v>74</v>
      </c>
      <c r="BQ718" t="s">
        <v>74</v>
      </c>
      <c r="BR718" t="s">
        <v>91</v>
      </c>
      <c r="BS718" t="s">
        <v>9773</v>
      </c>
      <c r="BT718" t="str">
        <f>HYPERLINK("https%3A%2F%2Fwww.webofscience.com%2Fwos%2Fwoscc%2Ffull-record%2FWOS:000168500000003","View Full Record in Web of Science")</f>
        <v>View Full Record in Web of Science</v>
      </c>
    </row>
    <row r="719" spans="1:72" x14ac:dyDescent="0.15">
      <c r="A719" t="s">
        <v>72</v>
      </c>
      <c r="B719" t="s">
        <v>9774</v>
      </c>
      <c r="C719" t="s">
        <v>74</v>
      </c>
      <c r="D719" t="s">
        <v>74</v>
      </c>
      <c r="E719" t="s">
        <v>74</v>
      </c>
      <c r="F719" t="s">
        <v>9774</v>
      </c>
      <c r="G719" t="s">
        <v>74</v>
      </c>
      <c r="H719" t="s">
        <v>74</v>
      </c>
      <c r="I719" t="s">
        <v>9775</v>
      </c>
      <c r="J719" t="s">
        <v>2852</v>
      </c>
      <c r="K719" t="s">
        <v>74</v>
      </c>
      <c r="L719" t="s">
        <v>74</v>
      </c>
      <c r="M719" t="s">
        <v>77</v>
      </c>
      <c r="N719" t="s">
        <v>120</v>
      </c>
      <c r="O719" t="s">
        <v>74</v>
      </c>
      <c r="P719" t="s">
        <v>74</v>
      </c>
      <c r="Q719" t="s">
        <v>74</v>
      </c>
      <c r="R719" t="s">
        <v>74</v>
      </c>
      <c r="S719" t="s">
        <v>74</v>
      </c>
      <c r="T719" t="s">
        <v>9776</v>
      </c>
      <c r="U719" t="s">
        <v>9777</v>
      </c>
      <c r="V719" t="s">
        <v>9778</v>
      </c>
      <c r="W719" t="s">
        <v>9779</v>
      </c>
      <c r="X719" t="s">
        <v>9780</v>
      </c>
      <c r="Y719" t="s">
        <v>9781</v>
      </c>
      <c r="Z719" t="s">
        <v>74</v>
      </c>
      <c r="AA719" t="s">
        <v>74</v>
      </c>
      <c r="AB719" t="s">
        <v>74</v>
      </c>
      <c r="AC719" t="s">
        <v>74</v>
      </c>
      <c r="AD719" t="s">
        <v>74</v>
      </c>
      <c r="AE719" t="s">
        <v>74</v>
      </c>
      <c r="AF719" t="s">
        <v>74</v>
      </c>
      <c r="AG719">
        <v>30</v>
      </c>
      <c r="AH719">
        <v>12</v>
      </c>
      <c r="AI719">
        <v>12</v>
      </c>
      <c r="AJ719">
        <v>0</v>
      </c>
      <c r="AK719">
        <v>2</v>
      </c>
      <c r="AL719" t="s">
        <v>2860</v>
      </c>
      <c r="AM719" t="s">
        <v>1190</v>
      </c>
      <c r="AN719" t="s">
        <v>2861</v>
      </c>
      <c r="AO719" t="s">
        <v>2862</v>
      </c>
      <c r="AP719" t="s">
        <v>74</v>
      </c>
      <c r="AQ719" t="s">
        <v>74</v>
      </c>
      <c r="AR719" t="s">
        <v>2863</v>
      </c>
      <c r="AS719" t="s">
        <v>2864</v>
      </c>
      <c r="AT719" t="s">
        <v>9036</v>
      </c>
      <c r="AU719">
        <v>2001</v>
      </c>
      <c r="AV719">
        <v>127</v>
      </c>
      <c r="AW719">
        <v>573</v>
      </c>
      <c r="AX719" t="s">
        <v>2865</v>
      </c>
      <c r="AY719" t="s">
        <v>74</v>
      </c>
      <c r="AZ719" t="s">
        <v>74</v>
      </c>
      <c r="BA719" t="s">
        <v>74</v>
      </c>
      <c r="BB719">
        <v>959</v>
      </c>
      <c r="BC719">
        <v>974</v>
      </c>
      <c r="BD719" t="s">
        <v>74</v>
      </c>
      <c r="BE719" t="s">
        <v>9782</v>
      </c>
      <c r="BF719" t="str">
        <f>HYPERLINK("http://dx.doi.org/10.1256/smsqj.57312","http://dx.doi.org/10.1256/smsqj.57312")</f>
        <v>http://dx.doi.org/10.1256/smsqj.57312</v>
      </c>
      <c r="BG719" t="s">
        <v>74</v>
      </c>
      <c r="BH719" t="s">
        <v>74</v>
      </c>
      <c r="BI719">
        <v>16</v>
      </c>
      <c r="BJ719" t="s">
        <v>538</v>
      </c>
      <c r="BK719" t="s">
        <v>88</v>
      </c>
      <c r="BL719" t="s">
        <v>538</v>
      </c>
      <c r="BM719" t="s">
        <v>9772</v>
      </c>
      <c r="BN719" t="s">
        <v>74</v>
      </c>
      <c r="BO719" t="s">
        <v>74</v>
      </c>
      <c r="BP719" t="s">
        <v>74</v>
      </c>
      <c r="BQ719" t="s">
        <v>74</v>
      </c>
      <c r="BR719" t="s">
        <v>91</v>
      </c>
      <c r="BS719" t="s">
        <v>9783</v>
      </c>
      <c r="BT719" t="str">
        <f>HYPERLINK("https%3A%2F%2Fwww.webofscience.com%2Fwos%2Fwoscc%2Ffull-record%2FWOS:000168500000012","View Full Record in Web of Science")</f>
        <v>View Full Record in Web of Science</v>
      </c>
    </row>
    <row r="720" spans="1:72" x14ac:dyDescent="0.15">
      <c r="A720" t="s">
        <v>72</v>
      </c>
      <c r="B720" t="s">
        <v>9784</v>
      </c>
      <c r="C720" t="s">
        <v>74</v>
      </c>
      <c r="D720" t="s">
        <v>74</v>
      </c>
      <c r="E720" t="s">
        <v>74</v>
      </c>
      <c r="F720" t="s">
        <v>9784</v>
      </c>
      <c r="G720" t="s">
        <v>74</v>
      </c>
      <c r="H720" t="s">
        <v>74</v>
      </c>
      <c r="I720" t="s">
        <v>9785</v>
      </c>
      <c r="J720" t="s">
        <v>9786</v>
      </c>
      <c r="K720" t="s">
        <v>74</v>
      </c>
      <c r="L720" t="s">
        <v>74</v>
      </c>
      <c r="M720" t="s">
        <v>77</v>
      </c>
      <c r="N720" t="s">
        <v>120</v>
      </c>
      <c r="O720" t="s">
        <v>74</v>
      </c>
      <c r="P720" t="s">
        <v>74</v>
      </c>
      <c r="Q720" t="s">
        <v>74</v>
      </c>
      <c r="R720" t="s">
        <v>74</v>
      </c>
      <c r="S720" t="s">
        <v>74</v>
      </c>
      <c r="T720" t="s">
        <v>9787</v>
      </c>
      <c r="U720" t="s">
        <v>9788</v>
      </c>
      <c r="V720" t="s">
        <v>9789</v>
      </c>
      <c r="W720" t="s">
        <v>9790</v>
      </c>
      <c r="X720" t="s">
        <v>9791</v>
      </c>
      <c r="Y720" t="s">
        <v>9792</v>
      </c>
      <c r="Z720" t="s">
        <v>9793</v>
      </c>
      <c r="AA720" t="s">
        <v>74</v>
      </c>
      <c r="AB720" t="s">
        <v>9794</v>
      </c>
      <c r="AC720" t="s">
        <v>74</v>
      </c>
      <c r="AD720" t="s">
        <v>74</v>
      </c>
      <c r="AE720" t="s">
        <v>74</v>
      </c>
      <c r="AF720" t="s">
        <v>74</v>
      </c>
      <c r="AG720">
        <v>71</v>
      </c>
      <c r="AH720">
        <v>69</v>
      </c>
      <c r="AI720">
        <v>77</v>
      </c>
      <c r="AJ720">
        <v>1</v>
      </c>
      <c r="AK720">
        <v>42</v>
      </c>
      <c r="AL720" t="s">
        <v>9795</v>
      </c>
      <c r="AM720" t="s">
        <v>9796</v>
      </c>
      <c r="AN720" t="s">
        <v>9797</v>
      </c>
      <c r="AO720" t="s">
        <v>9798</v>
      </c>
      <c r="AP720" t="s">
        <v>9799</v>
      </c>
      <c r="AQ720" t="s">
        <v>74</v>
      </c>
      <c r="AR720" t="s">
        <v>9800</v>
      </c>
      <c r="AS720" t="s">
        <v>9801</v>
      </c>
      <c r="AT720" t="s">
        <v>9036</v>
      </c>
      <c r="AU720">
        <v>2001</v>
      </c>
      <c r="AV720">
        <v>24</v>
      </c>
      <c r="AW720">
        <v>1</v>
      </c>
      <c r="AX720" t="s">
        <v>74</v>
      </c>
      <c r="AY720" t="s">
        <v>74</v>
      </c>
      <c r="AZ720" t="s">
        <v>74</v>
      </c>
      <c r="BA720" t="s">
        <v>74</v>
      </c>
      <c r="BB720">
        <v>44</v>
      </c>
      <c r="BC720">
        <v>53</v>
      </c>
      <c r="BD720" t="s">
        <v>74</v>
      </c>
      <c r="BE720" t="s">
        <v>9802</v>
      </c>
      <c r="BF720" t="str">
        <f>HYPERLINK("http://dx.doi.org/10.1078/0723-2020-00006","http://dx.doi.org/10.1078/0723-2020-00006")</f>
        <v>http://dx.doi.org/10.1078/0723-2020-00006</v>
      </c>
      <c r="BG720" t="s">
        <v>74</v>
      </c>
      <c r="BH720" t="s">
        <v>74</v>
      </c>
      <c r="BI720">
        <v>10</v>
      </c>
      <c r="BJ720" t="s">
        <v>759</v>
      </c>
      <c r="BK720" t="s">
        <v>88</v>
      </c>
      <c r="BL720" t="s">
        <v>759</v>
      </c>
      <c r="BM720" t="s">
        <v>9803</v>
      </c>
      <c r="BN720">
        <v>11403398</v>
      </c>
      <c r="BO720" t="s">
        <v>74</v>
      </c>
      <c r="BP720" t="s">
        <v>74</v>
      </c>
      <c r="BQ720" t="s">
        <v>74</v>
      </c>
      <c r="BR720" t="s">
        <v>91</v>
      </c>
      <c r="BS720" t="s">
        <v>9804</v>
      </c>
      <c r="BT720" t="str">
        <f>HYPERLINK("https%3A%2F%2Fwww.webofscience.com%2Fwos%2Fwoscc%2Ffull-record%2FWOS:000168850600006","View Full Record in Web of Science")</f>
        <v>View Full Record in Web of Science</v>
      </c>
    </row>
    <row r="721" spans="1:72" x14ac:dyDescent="0.15">
      <c r="A721" t="s">
        <v>72</v>
      </c>
      <c r="B721" t="s">
        <v>9805</v>
      </c>
      <c r="C721" t="s">
        <v>74</v>
      </c>
      <c r="D721" t="s">
        <v>74</v>
      </c>
      <c r="E721" t="s">
        <v>74</v>
      </c>
      <c r="F721" t="s">
        <v>9805</v>
      </c>
      <c r="G721" t="s">
        <v>74</v>
      </c>
      <c r="H721" t="s">
        <v>74</v>
      </c>
      <c r="I721" t="s">
        <v>9806</v>
      </c>
      <c r="J721" t="s">
        <v>9786</v>
      </c>
      <c r="K721" t="s">
        <v>74</v>
      </c>
      <c r="L721" t="s">
        <v>74</v>
      </c>
      <c r="M721" t="s">
        <v>77</v>
      </c>
      <c r="N721" t="s">
        <v>120</v>
      </c>
      <c r="O721" t="s">
        <v>74</v>
      </c>
      <c r="P721" t="s">
        <v>74</v>
      </c>
      <c r="Q721" t="s">
        <v>74</v>
      </c>
      <c r="R721" t="s">
        <v>74</v>
      </c>
      <c r="S721" t="s">
        <v>74</v>
      </c>
      <c r="T721" t="s">
        <v>9807</v>
      </c>
      <c r="U721" t="s">
        <v>9808</v>
      </c>
      <c r="V721" t="s">
        <v>9809</v>
      </c>
      <c r="W721" t="s">
        <v>9810</v>
      </c>
      <c r="X721" t="s">
        <v>9811</v>
      </c>
      <c r="Y721" t="s">
        <v>9812</v>
      </c>
      <c r="Z721" t="s">
        <v>74</v>
      </c>
      <c r="AA721" t="s">
        <v>74</v>
      </c>
      <c r="AB721" t="s">
        <v>74</v>
      </c>
      <c r="AC721" t="s">
        <v>74</v>
      </c>
      <c r="AD721" t="s">
        <v>74</v>
      </c>
      <c r="AE721" t="s">
        <v>74</v>
      </c>
      <c r="AF721" t="s">
        <v>74</v>
      </c>
      <c r="AG721">
        <v>39</v>
      </c>
      <c r="AH721">
        <v>66</v>
      </c>
      <c r="AI721">
        <v>69</v>
      </c>
      <c r="AJ721">
        <v>0</v>
      </c>
      <c r="AK721">
        <v>11</v>
      </c>
      <c r="AL721" t="s">
        <v>182</v>
      </c>
      <c r="AM721" t="s">
        <v>183</v>
      </c>
      <c r="AN721" t="s">
        <v>184</v>
      </c>
      <c r="AO721" t="s">
        <v>9798</v>
      </c>
      <c r="AP721" t="s">
        <v>74</v>
      </c>
      <c r="AQ721" t="s">
        <v>74</v>
      </c>
      <c r="AR721" t="s">
        <v>9800</v>
      </c>
      <c r="AS721" t="s">
        <v>9801</v>
      </c>
      <c r="AT721" t="s">
        <v>9036</v>
      </c>
      <c r="AU721">
        <v>2001</v>
      </c>
      <c r="AV721">
        <v>24</v>
      </c>
      <c r="AW721">
        <v>1</v>
      </c>
      <c r="AX721" t="s">
        <v>74</v>
      </c>
      <c r="AY721" t="s">
        <v>74</v>
      </c>
      <c r="AZ721" t="s">
        <v>74</v>
      </c>
      <c r="BA721" t="s">
        <v>74</v>
      </c>
      <c r="BB721">
        <v>98</v>
      </c>
      <c r="BC721">
        <v>107</v>
      </c>
      <c r="BD721" t="s">
        <v>74</v>
      </c>
      <c r="BE721" t="s">
        <v>9813</v>
      </c>
      <c r="BF721" t="str">
        <f>HYPERLINK("http://dx.doi.org/10.1078/0723-2020-00012","http://dx.doi.org/10.1078/0723-2020-00012")</f>
        <v>http://dx.doi.org/10.1078/0723-2020-00012</v>
      </c>
      <c r="BG721" t="s">
        <v>74</v>
      </c>
      <c r="BH721" t="s">
        <v>74</v>
      </c>
      <c r="BI721">
        <v>10</v>
      </c>
      <c r="BJ721" t="s">
        <v>759</v>
      </c>
      <c r="BK721" t="s">
        <v>88</v>
      </c>
      <c r="BL721" t="s">
        <v>759</v>
      </c>
      <c r="BM721" t="s">
        <v>9803</v>
      </c>
      <c r="BN721">
        <v>11403404</v>
      </c>
      <c r="BO721" t="s">
        <v>74</v>
      </c>
      <c r="BP721" t="s">
        <v>74</v>
      </c>
      <c r="BQ721" t="s">
        <v>74</v>
      </c>
      <c r="BR721" t="s">
        <v>91</v>
      </c>
      <c r="BS721" t="s">
        <v>9814</v>
      </c>
      <c r="BT721" t="str">
        <f>HYPERLINK("https%3A%2F%2Fwww.webofscience.com%2Fwos%2Fwoscc%2Ffull-record%2FWOS:000168850600012","View Full Record in Web of Science")</f>
        <v>View Full Record in Web of Science</v>
      </c>
    </row>
    <row r="722" spans="1:72" x14ac:dyDescent="0.15">
      <c r="A722" t="s">
        <v>72</v>
      </c>
      <c r="B722" t="s">
        <v>9815</v>
      </c>
      <c r="C722" t="s">
        <v>74</v>
      </c>
      <c r="D722" t="s">
        <v>74</v>
      </c>
      <c r="E722" t="s">
        <v>74</v>
      </c>
      <c r="F722" t="s">
        <v>9815</v>
      </c>
      <c r="G722" t="s">
        <v>74</v>
      </c>
      <c r="H722" t="s">
        <v>74</v>
      </c>
      <c r="I722" t="s">
        <v>9816</v>
      </c>
      <c r="J722" t="s">
        <v>7587</v>
      </c>
      <c r="K722" t="s">
        <v>74</v>
      </c>
      <c r="L722" t="s">
        <v>74</v>
      </c>
      <c r="M722" t="s">
        <v>77</v>
      </c>
      <c r="N722" t="s">
        <v>120</v>
      </c>
      <c r="O722" t="s">
        <v>74</v>
      </c>
      <c r="P722" t="s">
        <v>74</v>
      </c>
      <c r="Q722" t="s">
        <v>74</v>
      </c>
      <c r="R722" t="s">
        <v>74</v>
      </c>
      <c r="S722" t="s">
        <v>74</v>
      </c>
      <c r="T722" t="s">
        <v>74</v>
      </c>
      <c r="U722" t="s">
        <v>9817</v>
      </c>
      <c r="V722" t="s">
        <v>9818</v>
      </c>
      <c r="W722" t="s">
        <v>9819</v>
      </c>
      <c r="X722" t="s">
        <v>9820</v>
      </c>
      <c r="Y722" t="s">
        <v>9821</v>
      </c>
      <c r="Z722" t="s">
        <v>74</v>
      </c>
      <c r="AA722" t="s">
        <v>9822</v>
      </c>
      <c r="AB722" t="s">
        <v>9823</v>
      </c>
      <c r="AC722" t="s">
        <v>74</v>
      </c>
      <c r="AD722" t="s">
        <v>74</v>
      </c>
      <c r="AE722" t="s">
        <v>74</v>
      </c>
      <c r="AF722" t="s">
        <v>74</v>
      </c>
      <c r="AG722">
        <v>44</v>
      </c>
      <c r="AH722">
        <v>82</v>
      </c>
      <c r="AI722">
        <v>94</v>
      </c>
      <c r="AJ722">
        <v>1</v>
      </c>
      <c r="AK722">
        <v>11</v>
      </c>
      <c r="AL722" t="s">
        <v>731</v>
      </c>
      <c r="AM722" t="s">
        <v>732</v>
      </c>
      <c r="AN722" t="s">
        <v>733</v>
      </c>
      <c r="AO722" t="s">
        <v>7595</v>
      </c>
      <c r="AP722" t="s">
        <v>74</v>
      </c>
      <c r="AQ722" t="s">
        <v>74</v>
      </c>
      <c r="AR722" t="s">
        <v>7596</v>
      </c>
      <c r="AS722" t="s">
        <v>7597</v>
      </c>
      <c r="AT722" t="s">
        <v>9036</v>
      </c>
      <c r="AU722">
        <v>2001</v>
      </c>
      <c r="AV722">
        <v>53</v>
      </c>
      <c r="AW722">
        <v>2</v>
      </c>
      <c r="AX722" t="s">
        <v>74</v>
      </c>
      <c r="AY722" t="s">
        <v>74</v>
      </c>
      <c r="AZ722" t="s">
        <v>74</v>
      </c>
      <c r="BA722" t="s">
        <v>74</v>
      </c>
      <c r="BB722">
        <v>192</v>
      </c>
      <c r="BC722">
        <v>203</v>
      </c>
      <c r="BD722" t="s">
        <v>74</v>
      </c>
      <c r="BE722" t="s">
        <v>9824</v>
      </c>
      <c r="BF722" t="str">
        <f>HYPERLINK("http://dx.doi.org/10.1034/j.1600-0889.2001.d01-15.x","http://dx.doi.org/10.1034/j.1600-0889.2001.d01-15.x")</f>
        <v>http://dx.doi.org/10.1034/j.1600-0889.2001.d01-15.x</v>
      </c>
      <c r="BG722" t="s">
        <v>74</v>
      </c>
      <c r="BH722" t="s">
        <v>74</v>
      </c>
      <c r="BI722">
        <v>12</v>
      </c>
      <c r="BJ722" t="s">
        <v>538</v>
      </c>
      <c r="BK722" t="s">
        <v>88</v>
      </c>
      <c r="BL722" t="s">
        <v>538</v>
      </c>
      <c r="BM722" t="s">
        <v>9825</v>
      </c>
      <c r="BN722" t="s">
        <v>74</v>
      </c>
      <c r="BO722" t="s">
        <v>761</v>
      </c>
      <c r="BP722" t="s">
        <v>74</v>
      </c>
      <c r="BQ722" t="s">
        <v>74</v>
      </c>
      <c r="BR722" t="s">
        <v>91</v>
      </c>
      <c r="BS722" t="s">
        <v>9826</v>
      </c>
      <c r="BT722" t="str">
        <f>HYPERLINK("https%3A%2F%2Fwww.webofscience.com%2Fwos%2Fwoscc%2Ffull-record%2FWOS:000169810700006","View Full Record in Web of Science")</f>
        <v>View Full Record in Web of Science</v>
      </c>
    </row>
    <row r="723" spans="1:72" x14ac:dyDescent="0.15">
      <c r="A723" t="s">
        <v>72</v>
      </c>
      <c r="B723" t="s">
        <v>9827</v>
      </c>
      <c r="C723" t="s">
        <v>74</v>
      </c>
      <c r="D723" t="s">
        <v>74</v>
      </c>
      <c r="E723" t="s">
        <v>74</v>
      </c>
      <c r="F723" t="s">
        <v>9827</v>
      </c>
      <c r="G723" t="s">
        <v>74</v>
      </c>
      <c r="H723" t="s">
        <v>74</v>
      </c>
      <c r="I723" t="s">
        <v>9828</v>
      </c>
      <c r="J723" t="s">
        <v>638</v>
      </c>
      <c r="K723" t="s">
        <v>74</v>
      </c>
      <c r="L723" t="s">
        <v>74</v>
      </c>
      <c r="M723" t="s">
        <v>77</v>
      </c>
      <c r="N723" t="s">
        <v>120</v>
      </c>
      <c r="O723" t="s">
        <v>74</v>
      </c>
      <c r="P723" t="s">
        <v>74</v>
      </c>
      <c r="Q723" t="s">
        <v>74</v>
      </c>
      <c r="R723" t="s">
        <v>74</v>
      </c>
      <c r="S723" t="s">
        <v>74</v>
      </c>
      <c r="T723" t="s">
        <v>9829</v>
      </c>
      <c r="U723" t="s">
        <v>9830</v>
      </c>
      <c r="V723" t="s">
        <v>9831</v>
      </c>
      <c r="W723" t="s">
        <v>1103</v>
      </c>
      <c r="X723" t="s">
        <v>462</v>
      </c>
      <c r="Y723" t="s">
        <v>2719</v>
      </c>
      <c r="Z723" t="s">
        <v>9832</v>
      </c>
      <c r="AA723" t="s">
        <v>74</v>
      </c>
      <c r="AB723" t="s">
        <v>74</v>
      </c>
      <c r="AC723" t="s">
        <v>74</v>
      </c>
      <c r="AD723" t="s">
        <v>74</v>
      </c>
      <c r="AE723" t="s">
        <v>74</v>
      </c>
      <c r="AF723" t="s">
        <v>74</v>
      </c>
      <c r="AG723">
        <v>48</v>
      </c>
      <c r="AH723">
        <v>141</v>
      </c>
      <c r="AI723">
        <v>162</v>
      </c>
      <c r="AJ723">
        <v>0</v>
      </c>
      <c r="AK723">
        <v>95</v>
      </c>
      <c r="AL723" t="s">
        <v>349</v>
      </c>
      <c r="AM723" t="s">
        <v>350</v>
      </c>
      <c r="AN723" t="s">
        <v>351</v>
      </c>
      <c r="AO723" t="s">
        <v>646</v>
      </c>
      <c r="AP723" t="s">
        <v>647</v>
      </c>
      <c r="AQ723" t="s">
        <v>74</v>
      </c>
      <c r="AR723" t="s">
        <v>648</v>
      </c>
      <c r="AS723" t="s">
        <v>649</v>
      </c>
      <c r="AT723" t="s">
        <v>9833</v>
      </c>
      <c r="AU723">
        <v>2001</v>
      </c>
      <c r="AV723">
        <v>258</v>
      </c>
      <c r="AW723">
        <v>1</v>
      </c>
      <c r="AX723" t="s">
        <v>74</v>
      </c>
      <c r="AY723" t="s">
        <v>74</v>
      </c>
      <c r="AZ723" t="s">
        <v>74</v>
      </c>
      <c r="BA723" t="s">
        <v>74</v>
      </c>
      <c r="BB723">
        <v>87</v>
      </c>
      <c r="BC723">
        <v>99</v>
      </c>
      <c r="BD723" t="s">
        <v>74</v>
      </c>
      <c r="BE723" t="s">
        <v>9834</v>
      </c>
      <c r="BF723" t="str">
        <f>HYPERLINK("http://dx.doi.org/10.1016/S0022-0981(00)00347-6","http://dx.doi.org/10.1016/S0022-0981(00)00347-6")</f>
        <v>http://dx.doi.org/10.1016/S0022-0981(00)00347-6</v>
      </c>
      <c r="BG723" t="s">
        <v>74</v>
      </c>
      <c r="BH723" t="s">
        <v>74</v>
      </c>
      <c r="BI723">
        <v>13</v>
      </c>
      <c r="BJ723" t="s">
        <v>429</v>
      </c>
      <c r="BK723" t="s">
        <v>88</v>
      </c>
      <c r="BL723" t="s">
        <v>89</v>
      </c>
      <c r="BM723" t="s">
        <v>9835</v>
      </c>
      <c r="BN723">
        <v>11239627</v>
      </c>
      <c r="BO723" t="s">
        <v>74</v>
      </c>
      <c r="BP723" t="s">
        <v>74</v>
      </c>
      <c r="BQ723" t="s">
        <v>74</v>
      </c>
      <c r="BR723" t="s">
        <v>91</v>
      </c>
      <c r="BS723" t="s">
        <v>9836</v>
      </c>
      <c r="BT723" t="str">
        <f>HYPERLINK("https%3A%2F%2Fwww.webofscience.com%2Fwos%2Fwoscc%2Ffull-record%2FWOS:000167645900006","View Full Record in Web of Science")</f>
        <v>View Full Record in Web of Science</v>
      </c>
    </row>
    <row r="724" spans="1:72" x14ac:dyDescent="0.15">
      <c r="A724" t="s">
        <v>72</v>
      </c>
      <c r="B724" t="s">
        <v>9837</v>
      </c>
      <c r="C724" t="s">
        <v>74</v>
      </c>
      <c r="D724" t="s">
        <v>74</v>
      </c>
      <c r="E724" t="s">
        <v>74</v>
      </c>
      <c r="F724" t="s">
        <v>9837</v>
      </c>
      <c r="G724" t="s">
        <v>74</v>
      </c>
      <c r="H724" t="s">
        <v>74</v>
      </c>
      <c r="I724" t="s">
        <v>9838</v>
      </c>
      <c r="J724" t="s">
        <v>1867</v>
      </c>
      <c r="K724" t="s">
        <v>74</v>
      </c>
      <c r="L724" t="s">
        <v>74</v>
      </c>
      <c r="M724" t="s">
        <v>77</v>
      </c>
      <c r="N724" t="s">
        <v>120</v>
      </c>
      <c r="O724" t="s">
        <v>74</v>
      </c>
      <c r="P724" t="s">
        <v>74</v>
      </c>
      <c r="Q724" t="s">
        <v>74</v>
      </c>
      <c r="R724" t="s">
        <v>74</v>
      </c>
      <c r="S724" t="s">
        <v>74</v>
      </c>
      <c r="T724" t="s">
        <v>74</v>
      </c>
      <c r="U724" t="s">
        <v>9839</v>
      </c>
      <c r="V724" t="s">
        <v>9840</v>
      </c>
      <c r="W724" t="s">
        <v>9841</v>
      </c>
      <c r="X724" t="s">
        <v>9842</v>
      </c>
      <c r="Y724" t="s">
        <v>9843</v>
      </c>
      <c r="Z724" t="s">
        <v>9844</v>
      </c>
      <c r="AA724" t="s">
        <v>74</v>
      </c>
      <c r="AB724" t="s">
        <v>74</v>
      </c>
      <c r="AC724" t="s">
        <v>74</v>
      </c>
      <c r="AD724" t="s">
        <v>74</v>
      </c>
      <c r="AE724" t="s">
        <v>74</v>
      </c>
      <c r="AF724" t="s">
        <v>74</v>
      </c>
      <c r="AG724">
        <v>32</v>
      </c>
      <c r="AH724">
        <v>89</v>
      </c>
      <c r="AI724">
        <v>93</v>
      </c>
      <c r="AJ724">
        <v>1</v>
      </c>
      <c r="AK724">
        <v>10</v>
      </c>
      <c r="AL724" t="s">
        <v>1872</v>
      </c>
      <c r="AM724" t="s">
        <v>150</v>
      </c>
      <c r="AN724" t="s">
        <v>1873</v>
      </c>
      <c r="AO724" t="s">
        <v>1874</v>
      </c>
      <c r="AP724" t="s">
        <v>3175</v>
      </c>
      <c r="AQ724" t="s">
        <v>74</v>
      </c>
      <c r="AR724" t="s">
        <v>1867</v>
      </c>
      <c r="AS724" t="s">
        <v>1875</v>
      </c>
      <c r="AT724" t="s">
        <v>9833</v>
      </c>
      <c r="AU724">
        <v>2001</v>
      </c>
      <c r="AV724">
        <v>291</v>
      </c>
      <c r="AW724">
        <v>5513</v>
      </c>
      <c r="AX724" t="s">
        <v>74</v>
      </c>
      <c r="AY724" t="s">
        <v>74</v>
      </c>
      <c r="AZ724" t="s">
        <v>74</v>
      </c>
      <c r="BA724" t="s">
        <v>74</v>
      </c>
      <c r="BB724">
        <v>2591</v>
      </c>
      <c r="BC724">
        <v>2594</v>
      </c>
      <c r="BD724" t="s">
        <v>74</v>
      </c>
      <c r="BE724" t="s">
        <v>9845</v>
      </c>
      <c r="BF724" t="str">
        <f>HYPERLINK("http://dx.doi.org/10.1126/science.1057228","http://dx.doi.org/10.1126/science.1057228")</f>
        <v>http://dx.doi.org/10.1126/science.1057228</v>
      </c>
      <c r="BG724" t="s">
        <v>74</v>
      </c>
      <c r="BH724" t="s">
        <v>74</v>
      </c>
      <c r="BI724">
        <v>4</v>
      </c>
      <c r="BJ724" t="s">
        <v>575</v>
      </c>
      <c r="BK724" t="s">
        <v>88</v>
      </c>
      <c r="BL724" t="s">
        <v>576</v>
      </c>
      <c r="BM724" t="s">
        <v>9846</v>
      </c>
      <c r="BN724">
        <v>11283368</v>
      </c>
      <c r="BO724" t="s">
        <v>74</v>
      </c>
      <c r="BP724" t="s">
        <v>74</v>
      </c>
      <c r="BQ724" t="s">
        <v>74</v>
      </c>
      <c r="BR724" t="s">
        <v>91</v>
      </c>
      <c r="BS724" t="s">
        <v>9847</v>
      </c>
      <c r="BT724" t="str">
        <f>HYPERLINK("https%3A%2F%2Fwww.webofscience.com%2Fwos%2Fwoscc%2Ffull-record%2FWOS:000167861000038","View Full Record in Web of Science")</f>
        <v>View Full Record in Web of Science</v>
      </c>
    </row>
    <row r="725" spans="1:72" x14ac:dyDescent="0.15">
      <c r="A725" t="s">
        <v>72</v>
      </c>
      <c r="B725" t="s">
        <v>9848</v>
      </c>
      <c r="C725" t="s">
        <v>74</v>
      </c>
      <c r="D725" t="s">
        <v>74</v>
      </c>
      <c r="E725" t="s">
        <v>74</v>
      </c>
      <c r="F725" t="s">
        <v>9848</v>
      </c>
      <c r="G725" t="s">
        <v>74</v>
      </c>
      <c r="H725" t="s">
        <v>74</v>
      </c>
      <c r="I725" t="s">
        <v>9849</v>
      </c>
      <c r="J725" t="s">
        <v>522</v>
      </c>
      <c r="K725" t="s">
        <v>74</v>
      </c>
      <c r="L725" t="s">
        <v>74</v>
      </c>
      <c r="M725" t="s">
        <v>77</v>
      </c>
      <c r="N725" t="s">
        <v>435</v>
      </c>
      <c r="O725" t="s">
        <v>9850</v>
      </c>
      <c r="P725" t="s">
        <v>9851</v>
      </c>
      <c r="Q725" t="s">
        <v>9852</v>
      </c>
      <c r="R725" t="s">
        <v>74</v>
      </c>
      <c r="S725" t="s">
        <v>74</v>
      </c>
      <c r="T725" t="s">
        <v>74</v>
      </c>
      <c r="U725" t="s">
        <v>9853</v>
      </c>
      <c r="V725" t="s">
        <v>9854</v>
      </c>
      <c r="W725" t="s">
        <v>9855</v>
      </c>
      <c r="X725" t="s">
        <v>125</v>
      </c>
      <c r="Y725" t="s">
        <v>9856</v>
      </c>
      <c r="Z725" t="s">
        <v>74</v>
      </c>
      <c r="AA725" t="s">
        <v>74</v>
      </c>
      <c r="AB725" t="s">
        <v>9857</v>
      </c>
      <c r="AC725" t="s">
        <v>74</v>
      </c>
      <c r="AD725" t="s">
        <v>74</v>
      </c>
      <c r="AE725" t="s">
        <v>74</v>
      </c>
      <c r="AF725" t="s">
        <v>74</v>
      </c>
      <c r="AG725">
        <v>26</v>
      </c>
      <c r="AH725">
        <v>36</v>
      </c>
      <c r="AI725">
        <v>36</v>
      </c>
      <c r="AJ725">
        <v>0</v>
      </c>
      <c r="AK725">
        <v>7</v>
      </c>
      <c r="AL725" t="s">
        <v>149</v>
      </c>
      <c r="AM725" t="s">
        <v>150</v>
      </c>
      <c r="AN725" t="s">
        <v>151</v>
      </c>
      <c r="AO725" t="s">
        <v>4366</v>
      </c>
      <c r="AP725" t="s">
        <v>74</v>
      </c>
      <c r="AQ725" t="s">
        <v>74</v>
      </c>
      <c r="AR725" t="s">
        <v>533</v>
      </c>
      <c r="AS725" t="s">
        <v>534</v>
      </c>
      <c r="AT725" t="s">
        <v>9858</v>
      </c>
      <c r="AU725">
        <v>2001</v>
      </c>
      <c r="AV725">
        <v>106</v>
      </c>
      <c r="AW725" t="s">
        <v>9859</v>
      </c>
      <c r="AX725" t="s">
        <v>74</v>
      </c>
      <c r="AY725" t="s">
        <v>74</v>
      </c>
      <c r="AZ725" t="s">
        <v>74</v>
      </c>
      <c r="BA725" t="s">
        <v>74</v>
      </c>
      <c r="BB725">
        <v>5335</v>
      </c>
      <c r="BC725">
        <v>5351</v>
      </c>
      <c r="BD725" t="s">
        <v>74</v>
      </c>
      <c r="BE725" t="s">
        <v>9860</v>
      </c>
      <c r="BF725" t="str">
        <f>HYPERLINK("http://dx.doi.org/10.1029/2000JD900584","http://dx.doi.org/10.1029/2000JD900584")</f>
        <v>http://dx.doi.org/10.1029/2000JD900584</v>
      </c>
      <c r="BG725" t="s">
        <v>74</v>
      </c>
      <c r="BH725" t="s">
        <v>74</v>
      </c>
      <c r="BI725">
        <v>17</v>
      </c>
      <c r="BJ725" t="s">
        <v>538</v>
      </c>
      <c r="BK725" t="s">
        <v>453</v>
      </c>
      <c r="BL725" t="s">
        <v>538</v>
      </c>
      <c r="BM725" t="s">
        <v>9861</v>
      </c>
      <c r="BN725" t="s">
        <v>74</v>
      </c>
      <c r="BO725" t="s">
        <v>563</v>
      </c>
      <c r="BP725" t="s">
        <v>74</v>
      </c>
      <c r="BQ725" t="s">
        <v>74</v>
      </c>
      <c r="BR725" t="s">
        <v>91</v>
      </c>
      <c r="BS725" t="s">
        <v>9862</v>
      </c>
      <c r="BT725" t="str">
        <f>HYPERLINK("https%3A%2F%2Fwww.webofscience.com%2Fwos%2Fwoscc%2Ffull-record%2FWOS:000167635900017","View Full Record in Web of Science")</f>
        <v>View Full Record in Web of Science</v>
      </c>
    </row>
    <row r="726" spans="1:72" x14ac:dyDescent="0.15">
      <c r="A726" t="s">
        <v>72</v>
      </c>
      <c r="B726" t="s">
        <v>9863</v>
      </c>
      <c r="C726" t="s">
        <v>74</v>
      </c>
      <c r="D726" t="s">
        <v>74</v>
      </c>
      <c r="E726" t="s">
        <v>74</v>
      </c>
      <c r="F726" t="s">
        <v>9863</v>
      </c>
      <c r="G726" t="s">
        <v>74</v>
      </c>
      <c r="H726" t="s">
        <v>74</v>
      </c>
      <c r="I726" t="s">
        <v>9864</v>
      </c>
      <c r="J726" t="s">
        <v>522</v>
      </c>
      <c r="K726" t="s">
        <v>74</v>
      </c>
      <c r="L726" t="s">
        <v>74</v>
      </c>
      <c r="M726" t="s">
        <v>77</v>
      </c>
      <c r="N726" t="s">
        <v>435</v>
      </c>
      <c r="O726" t="s">
        <v>9850</v>
      </c>
      <c r="P726" t="s">
        <v>9851</v>
      </c>
      <c r="Q726" t="s">
        <v>9852</v>
      </c>
      <c r="R726" t="s">
        <v>74</v>
      </c>
      <c r="S726" t="s">
        <v>74</v>
      </c>
      <c r="T726" t="s">
        <v>74</v>
      </c>
      <c r="U726" t="s">
        <v>9865</v>
      </c>
      <c r="V726" t="s">
        <v>9866</v>
      </c>
      <c r="W726" t="s">
        <v>9867</v>
      </c>
      <c r="X726" t="s">
        <v>125</v>
      </c>
      <c r="Y726" t="s">
        <v>9868</v>
      </c>
      <c r="Z726" t="s">
        <v>74</v>
      </c>
      <c r="AA726" t="s">
        <v>74</v>
      </c>
      <c r="AB726" t="s">
        <v>9857</v>
      </c>
      <c r="AC726" t="s">
        <v>74</v>
      </c>
      <c r="AD726" t="s">
        <v>74</v>
      </c>
      <c r="AE726" t="s">
        <v>74</v>
      </c>
      <c r="AF726" t="s">
        <v>74</v>
      </c>
      <c r="AG726">
        <v>25</v>
      </c>
      <c r="AH726">
        <v>24</v>
      </c>
      <c r="AI726">
        <v>26</v>
      </c>
      <c r="AJ726">
        <v>1</v>
      </c>
      <c r="AK726">
        <v>13</v>
      </c>
      <c r="AL726" t="s">
        <v>149</v>
      </c>
      <c r="AM726" t="s">
        <v>150</v>
      </c>
      <c r="AN726" t="s">
        <v>151</v>
      </c>
      <c r="AO726" t="s">
        <v>4366</v>
      </c>
      <c r="AP726" t="s">
        <v>74</v>
      </c>
      <c r="AQ726" t="s">
        <v>74</v>
      </c>
      <c r="AR726" t="s">
        <v>533</v>
      </c>
      <c r="AS726" t="s">
        <v>534</v>
      </c>
      <c r="AT726" t="s">
        <v>9858</v>
      </c>
      <c r="AU726">
        <v>2001</v>
      </c>
      <c r="AV726">
        <v>106</v>
      </c>
      <c r="AW726" t="s">
        <v>9859</v>
      </c>
      <c r="AX726" t="s">
        <v>74</v>
      </c>
      <c r="AY726" t="s">
        <v>74</v>
      </c>
      <c r="AZ726" t="s">
        <v>74</v>
      </c>
      <c r="BA726" t="s">
        <v>74</v>
      </c>
      <c r="BB726">
        <v>5353</v>
      </c>
      <c r="BC726">
        <v>5368</v>
      </c>
      <c r="BD726" t="s">
        <v>74</v>
      </c>
      <c r="BE726" t="s">
        <v>9869</v>
      </c>
      <c r="BF726" t="str">
        <f>HYPERLINK("http://dx.doi.org/10.1029/2000JD900435","http://dx.doi.org/10.1029/2000JD900435")</f>
        <v>http://dx.doi.org/10.1029/2000JD900435</v>
      </c>
      <c r="BG726" t="s">
        <v>74</v>
      </c>
      <c r="BH726" t="s">
        <v>74</v>
      </c>
      <c r="BI726">
        <v>16</v>
      </c>
      <c r="BJ726" t="s">
        <v>538</v>
      </c>
      <c r="BK726" t="s">
        <v>453</v>
      </c>
      <c r="BL726" t="s">
        <v>538</v>
      </c>
      <c r="BM726" t="s">
        <v>9861</v>
      </c>
      <c r="BN726" t="s">
        <v>74</v>
      </c>
      <c r="BO726" t="s">
        <v>896</v>
      </c>
      <c r="BP726" t="s">
        <v>74</v>
      </c>
      <c r="BQ726" t="s">
        <v>74</v>
      </c>
      <c r="BR726" t="s">
        <v>91</v>
      </c>
      <c r="BS726" t="s">
        <v>9870</v>
      </c>
      <c r="BT726" t="str">
        <f>HYPERLINK("https%3A%2F%2Fwww.webofscience.com%2Fwos%2Fwoscc%2Ffull-record%2FWOS:000167635900018","View Full Record in Web of Science")</f>
        <v>View Full Record in Web of Science</v>
      </c>
    </row>
    <row r="727" spans="1:72" x14ac:dyDescent="0.15">
      <c r="A727" t="s">
        <v>72</v>
      </c>
      <c r="B727" t="s">
        <v>9871</v>
      </c>
      <c r="C727" t="s">
        <v>74</v>
      </c>
      <c r="D727" t="s">
        <v>74</v>
      </c>
      <c r="E727" t="s">
        <v>74</v>
      </c>
      <c r="F727" t="s">
        <v>9871</v>
      </c>
      <c r="G727" t="s">
        <v>74</v>
      </c>
      <c r="H727" t="s">
        <v>74</v>
      </c>
      <c r="I727" t="s">
        <v>9872</v>
      </c>
      <c r="J727" t="s">
        <v>5467</v>
      </c>
      <c r="K727" t="s">
        <v>74</v>
      </c>
      <c r="L727" t="s">
        <v>74</v>
      </c>
      <c r="M727" t="s">
        <v>77</v>
      </c>
      <c r="N727" t="s">
        <v>120</v>
      </c>
      <c r="O727" t="s">
        <v>74</v>
      </c>
      <c r="P727" t="s">
        <v>74</v>
      </c>
      <c r="Q727" t="s">
        <v>74</v>
      </c>
      <c r="R727" t="s">
        <v>74</v>
      </c>
      <c r="S727" t="s">
        <v>74</v>
      </c>
      <c r="T727" t="s">
        <v>74</v>
      </c>
      <c r="U727" t="s">
        <v>9873</v>
      </c>
      <c r="V727" t="s">
        <v>9874</v>
      </c>
      <c r="W727" t="s">
        <v>9875</v>
      </c>
      <c r="X727" t="s">
        <v>9876</v>
      </c>
      <c r="Y727" t="s">
        <v>9877</v>
      </c>
      <c r="Z727" t="s">
        <v>74</v>
      </c>
      <c r="AA727" t="s">
        <v>74</v>
      </c>
      <c r="AB727" t="s">
        <v>74</v>
      </c>
      <c r="AC727" t="s">
        <v>74</v>
      </c>
      <c r="AD727" t="s">
        <v>74</v>
      </c>
      <c r="AE727" t="s">
        <v>74</v>
      </c>
      <c r="AF727" t="s">
        <v>74</v>
      </c>
      <c r="AG727">
        <v>51</v>
      </c>
      <c r="AH727">
        <v>12</v>
      </c>
      <c r="AI727">
        <v>12</v>
      </c>
      <c r="AJ727">
        <v>0</v>
      </c>
      <c r="AK727">
        <v>6</v>
      </c>
      <c r="AL727" t="s">
        <v>508</v>
      </c>
      <c r="AM727" t="s">
        <v>150</v>
      </c>
      <c r="AN727" t="s">
        <v>509</v>
      </c>
      <c r="AO727" t="s">
        <v>5473</v>
      </c>
      <c r="AP727" t="s">
        <v>9878</v>
      </c>
      <c r="AQ727" t="s">
        <v>74</v>
      </c>
      <c r="AR727" t="s">
        <v>5474</v>
      </c>
      <c r="AS727" t="s">
        <v>5475</v>
      </c>
      <c r="AT727" t="s">
        <v>9879</v>
      </c>
      <c r="AU727">
        <v>2001</v>
      </c>
      <c r="AV727">
        <v>105</v>
      </c>
      <c r="AW727">
        <v>11</v>
      </c>
      <c r="AX727" t="s">
        <v>74</v>
      </c>
      <c r="AY727" t="s">
        <v>74</v>
      </c>
      <c r="AZ727" t="s">
        <v>74</v>
      </c>
      <c r="BA727" t="s">
        <v>74</v>
      </c>
      <c r="BB727">
        <v>2209</v>
      </c>
      <c r="BC727">
        <v>2215</v>
      </c>
      <c r="BD727" t="s">
        <v>74</v>
      </c>
      <c r="BE727" t="s">
        <v>9880</v>
      </c>
      <c r="BF727" t="str">
        <f>HYPERLINK("http://dx.doi.org/10.1021/jp002536c","http://dx.doi.org/10.1021/jp002536c")</f>
        <v>http://dx.doi.org/10.1021/jp002536c</v>
      </c>
      <c r="BG727" t="s">
        <v>74</v>
      </c>
      <c r="BH727" t="s">
        <v>74</v>
      </c>
      <c r="BI727">
        <v>7</v>
      </c>
      <c r="BJ727" t="s">
        <v>5478</v>
      </c>
      <c r="BK727" t="s">
        <v>88</v>
      </c>
      <c r="BL727" t="s">
        <v>5479</v>
      </c>
      <c r="BM727" t="s">
        <v>9881</v>
      </c>
      <c r="BN727" t="s">
        <v>74</v>
      </c>
      <c r="BO727" t="s">
        <v>74</v>
      </c>
      <c r="BP727" t="s">
        <v>74</v>
      </c>
      <c r="BQ727" t="s">
        <v>74</v>
      </c>
      <c r="BR727" t="s">
        <v>91</v>
      </c>
      <c r="BS727" t="s">
        <v>9882</v>
      </c>
      <c r="BT727" t="str">
        <f>HYPERLINK("https%3A%2F%2Fwww.webofscience.com%2Fwos%2Fwoscc%2Ffull-record%2FWOS:000167632400010","View Full Record in Web of Science")</f>
        <v>View Full Record in Web of Science</v>
      </c>
    </row>
    <row r="728" spans="1:72" x14ac:dyDescent="0.15">
      <c r="A728" t="s">
        <v>72</v>
      </c>
      <c r="B728" t="s">
        <v>9883</v>
      </c>
      <c r="C728" t="s">
        <v>74</v>
      </c>
      <c r="D728" t="s">
        <v>74</v>
      </c>
      <c r="E728" t="s">
        <v>74</v>
      </c>
      <c r="F728" t="s">
        <v>9883</v>
      </c>
      <c r="G728" t="s">
        <v>74</v>
      </c>
      <c r="H728" t="s">
        <v>74</v>
      </c>
      <c r="I728" t="s">
        <v>9884</v>
      </c>
      <c r="J728" t="s">
        <v>695</v>
      </c>
      <c r="K728" t="s">
        <v>74</v>
      </c>
      <c r="L728" t="s">
        <v>74</v>
      </c>
      <c r="M728" t="s">
        <v>77</v>
      </c>
      <c r="N728" t="s">
        <v>120</v>
      </c>
      <c r="O728" t="s">
        <v>74</v>
      </c>
      <c r="P728" t="s">
        <v>74</v>
      </c>
      <c r="Q728" t="s">
        <v>74</v>
      </c>
      <c r="R728" t="s">
        <v>74</v>
      </c>
      <c r="S728" t="s">
        <v>74</v>
      </c>
      <c r="T728" t="s">
        <v>74</v>
      </c>
      <c r="U728" t="s">
        <v>9885</v>
      </c>
      <c r="V728" t="s">
        <v>9886</v>
      </c>
      <c r="W728" t="s">
        <v>9887</v>
      </c>
      <c r="X728" t="s">
        <v>9888</v>
      </c>
      <c r="Y728" t="s">
        <v>9889</v>
      </c>
      <c r="Z728" t="s">
        <v>74</v>
      </c>
      <c r="AA728" t="s">
        <v>9890</v>
      </c>
      <c r="AB728" t="s">
        <v>9891</v>
      </c>
      <c r="AC728" t="s">
        <v>74</v>
      </c>
      <c r="AD728" t="s">
        <v>74</v>
      </c>
      <c r="AE728" t="s">
        <v>74</v>
      </c>
      <c r="AF728" t="s">
        <v>74</v>
      </c>
      <c r="AG728">
        <v>20</v>
      </c>
      <c r="AH728">
        <v>161</v>
      </c>
      <c r="AI728">
        <v>177</v>
      </c>
      <c r="AJ728">
        <v>0</v>
      </c>
      <c r="AK728">
        <v>13</v>
      </c>
      <c r="AL728" t="s">
        <v>700</v>
      </c>
      <c r="AM728" t="s">
        <v>683</v>
      </c>
      <c r="AN728" t="s">
        <v>701</v>
      </c>
      <c r="AO728" t="s">
        <v>702</v>
      </c>
      <c r="AP728" t="s">
        <v>74</v>
      </c>
      <c r="AQ728" t="s">
        <v>74</v>
      </c>
      <c r="AR728" t="s">
        <v>695</v>
      </c>
      <c r="AS728" t="s">
        <v>703</v>
      </c>
      <c r="AT728" t="s">
        <v>9879</v>
      </c>
      <c r="AU728">
        <v>2001</v>
      </c>
      <c r="AV728">
        <v>410</v>
      </c>
      <c r="AW728">
        <v>6827</v>
      </c>
      <c r="AX728" t="s">
        <v>74</v>
      </c>
      <c r="AY728" t="s">
        <v>74</v>
      </c>
      <c r="AZ728" t="s">
        <v>74</v>
      </c>
      <c r="BA728" t="s">
        <v>74</v>
      </c>
      <c r="BB728">
        <v>441</v>
      </c>
      <c r="BC728">
        <v>443</v>
      </c>
      <c r="BD728" t="s">
        <v>74</v>
      </c>
      <c r="BE728" t="s">
        <v>9892</v>
      </c>
      <c r="BF728" t="str">
        <f>HYPERLINK("http://dx.doi.org/10.1038/35068509","http://dx.doi.org/10.1038/35068509")</f>
        <v>http://dx.doi.org/10.1038/35068509</v>
      </c>
      <c r="BG728" t="s">
        <v>74</v>
      </c>
      <c r="BH728" t="s">
        <v>74</v>
      </c>
      <c r="BI728">
        <v>3</v>
      </c>
      <c r="BJ728" t="s">
        <v>575</v>
      </c>
      <c r="BK728" t="s">
        <v>88</v>
      </c>
      <c r="BL728" t="s">
        <v>576</v>
      </c>
      <c r="BM728" t="s">
        <v>9893</v>
      </c>
      <c r="BN728">
        <v>11260705</v>
      </c>
      <c r="BO728" t="s">
        <v>74</v>
      </c>
      <c r="BP728" t="s">
        <v>74</v>
      </c>
      <c r="BQ728" t="s">
        <v>74</v>
      </c>
      <c r="BR728" t="s">
        <v>91</v>
      </c>
      <c r="BS728" t="s">
        <v>9894</v>
      </c>
      <c r="BT728" t="str">
        <f>HYPERLINK("https%3A%2F%2Fwww.webofscience.com%2Fwos%2Fwoscc%2Ffull-record%2FWOS:000167583800033","View Full Record in Web of Science")</f>
        <v>View Full Record in Web of Science</v>
      </c>
    </row>
    <row r="729" spans="1:72" x14ac:dyDescent="0.15">
      <c r="A729" t="s">
        <v>72</v>
      </c>
      <c r="B729" t="s">
        <v>9895</v>
      </c>
      <c r="C729" t="s">
        <v>74</v>
      </c>
      <c r="D729" t="s">
        <v>74</v>
      </c>
      <c r="E729" t="s">
        <v>74</v>
      </c>
      <c r="F729" t="s">
        <v>9895</v>
      </c>
      <c r="G729" t="s">
        <v>74</v>
      </c>
      <c r="H729" t="s">
        <v>74</v>
      </c>
      <c r="I729" t="s">
        <v>9896</v>
      </c>
      <c r="J729" t="s">
        <v>695</v>
      </c>
      <c r="K729" t="s">
        <v>74</v>
      </c>
      <c r="L729" t="s">
        <v>74</v>
      </c>
      <c r="M729" t="s">
        <v>77</v>
      </c>
      <c r="N729" t="s">
        <v>120</v>
      </c>
      <c r="O729" t="s">
        <v>74</v>
      </c>
      <c r="P729" t="s">
        <v>74</v>
      </c>
      <c r="Q729" t="s">
        <v>74</v>
      </c>
      <c r="R729" t="s">
        <v>74</v>
      </c>
      <c r="S729" t="s">
        <v>74</v>
      </c>
      <c r="T729" t="s">
        <v>74</v>
      </c>
      <c r="U729" t="s">
        <v>9897</v>
      </c>
      <c r="V729" t="s">
        <v>9898</v>
      </c>
      <c r="W729" t="s">
        <v>9899</v>
      </c>
      <c r="X729" t="s">
        <v>9900</v>
      </c>
      <c r="Y729" t="s">
        <v>9901</v>
      </c>
      <c r="Z729" t="s">
        <v>9902</v>
      </c>
      <c r="AA729" t="s">
        <v>9903</v>
      </c>
      <c r="AB729" t="s">
        <v>9904</v>
      </c>
      <c r="AC729" t="s">
        <v>74</v>
      </c>
      <c r="AD729" t="s">
        <v>74</v>
      </c>
      <c r="AE729" t="s">
        <v>74</v>
      </c>
      <c r="AF729" t="s">
        <v>74</v>
      </c>
      <c r="AG729">
        <v>31</v>
      </c>
      <c r="AH729">
        <v>163</v>
      </c>
      <c r="AI729">
        <v>183</v>
      </c>
      <c r="AJ729">
        <v>0</v>
      </c>
      <c r="AK729">
        <v>18</v>
      </c>
      <c r="AL729" t="s">
        <v>1890</v>
      </c>
      <c r="AM729" t="s">
        <v>683</v>
      </c>
      <c r="AN729" t="s">
        <v>1891</v>
      </c>
      <c r="AO729" t="s">
        <v>702</v>
      </c>
      <c r="AP729" t="s">
        <v>1892</v>
      </c>
      <c r="AQ729" t="s">
        <v>74</v>
      </c>
      <c r="AR729" t="s">
        <v>695</v>
      </c>
      <c r="AS729" t="s">
        <v>703</v>
      </c>
      <c r="AT729" t="s">
        <v>9879</v>
      </c>
      <c r="AU729">
        <v>2001</v>
      </c>
      <c r="AV729">
        <v>410</v>
      </c>
      <c r="AW729">
        <v>6827</v>
      </c>
      <c r="AX729" t="s">
        <v>74</v>
      </c>
      <c r="AY729" t="s">
        <v>74</v>
      </c>
      <c r="AZ729" t="s">
        <v>74</v>
      </c>
      <c r="BA729" t="s">
        <v>74</v>
      </c>
      <c r="BB729">
        <v>453</v>
      </c>
      <c r="BC729">
        <v>457</v>
      </c>
      <c r="BD729" t="s">
        <v>74</v>
      </c>
      <c r="BE729" t="s">
        <v>9905</v>
      </c>
      <c r="BF729" t="str">
        <f>HYPERLINK("http://dx.doi.org/10.1038/35068536","http://dx.doi.org/10.1038/35068536")</f>
        <v>http://dx.doi.org/10.1038/35068536</v>
      </c>
      <c r="BG729" t="s">
        <v>74</v>
      </c>
      <c r="BH729" t="s">
        <v>74</v>
      </c>
      <c r="BI729">
        <v>6</v>
      </c>
      <c r="BJ729" t="s">
        <v>575</v>
      </c>
      <c r="BK729" t="s">
        <v>88</v>
      </c>
      <c r="BL729" t="s">
        <v>576</v>
      </c>
      <c r="BM729" t="s">
        <v>9893</v>
      </c>
      <c r="BN729">
        <v>11260709</v>
      </c>
      <c r="BO729" t="s">
        <v>74</v>
      </c>
      <c r="BP729" t="s">
        <v>74</v>
      </c>
      <c r="BQ729" t="s">
        <v>74</v>
      </c>
      <c r="BR729" t="s">
        <v>91</v>
      </c>
      <c r="BS729" t="s">
        <v>9906</v>
      </c>
      <c r="BT729" t="str">
        <f>HYPERLINK("https%3A%2F%2Fwww.webofscience.com%2Fwos%2Fwoscc%2Ffull-record%2FWOS:000167583800037","View Full Record in Web of Science")</f>
        <v>View Full Record in Web of Science</v>
      </c>
    </row>
    <row r="730" spans="1:72" x14ac:dyDescent="0.15">
      <c r="A730" t="s">
        <v>72</v>
      </c>
      <c r="B730" t="s">
        <v>9907</v>
      </c>
      <c r="C730" t="s">
        <v>74</v>
      </c>
      <c r="D730" t="s">
        <v>74</v>
      </c>
      <c r="E730" t="s">
        <v>74</v>
      </c>
      <c r="F730" t="s">
        <v>9907</v>
      </c>
      <c r="G730" t="s">
        <v>74</v>
      </c>
      <c r="H730" t="s">
        <v>74</v>
      </c>
      <c r="I730" t="s">
        <v>9908</v>
      </c>
      <c r="J730" t="s">
        <v>695</v>
      </c>
      <c r="K730" t="s">
        <v>74</v>
      </c>
      <c r="L730" t="s">
        <v>74</v>
      </c>
      <c r="M730" t="s">
        <v>77</v>
      </c>
      <c r="N730" t="s">
        <v>120</v>
      </c>
      <c r="O730" t="s">
        <v>74</v>
      </c>
      <c r="P730" t="s">
        <v>74</v>
      </c>
      <c r="Q730" t="s">
        <v>74</v>
      </c>
      <c r="R730" t="s">
        <v>74</v>
      </c>
      <c r="S730" t="s">
        <v>74</v>
      </c>
      <c r="T730" t="s">
        <v>74</v>
      </c>
      <c r="U730" t="s">
        <v>9909</v>
      </c>
      <c r="V730" t="s">
        <v>9910</v>
      </c>
      <c r="W730" t="s">
        <v>9911</v>
      </c>
      <c r="X730" t="s">
        <v>9912</v>
      </c>
      <c r="Y730" t="s">
        <v>9913</v>
      </c>
      <c r="Z730" t="s">
        <v>74</v>
      </c>
      <c r="AA730" t="s">
        <v>9914</v>
      </c>
      <c r="AB730" t="s">
        <v>74</v>
      </c>
      <c r="AC730" t="s">
        <v>74</v>
      </c>
      <c r="AD730" t="s">
        <v>74</v>
      </c>
      <c r="AE730" t="s">
        <v>74</v>
      </c>
      <c r="AF730" t="s">
        <v>74</v>
      </c>
      <c r="AG730">
        <v>30</v>
      </c>
      <c r="AH730">
        <v>70</v>
      </c>
      <c r="AI730">
        <v>73</v>
      </c>
      <c r="AJ730">
        <v>1</v>
      </c>
      <c r="AK730">
        <v>8</v>
      </c>
      <c r="AL730" t="s">
        <v>700</v>
      </c>
      <c r="AM730" t="s">
        <v>683</v>
      </c>
      <c r="AN730" t="s">
        <v>701</v>
      </c>
      <c r="AO730" t="s">
        <v>702</v>
      </c>
      <c r="AP730" t="s">
        <v>74</v>
      </c>
      <c r="AQ730" t="s">
        <v>74</v>
      </c>
      <c r="AR730" t="s">
        <v>695</v>
      </c>
      <c r="AS730" t="s">
        <v>703</v>
      </c>
      <c r="AT730" t="s">
        <v>9879</v>
      </c>
      <c r="AU730">
        <v>2001</v>
      </c>
      <c r="AV730">
        <v>410</v>
      </c>
      <c r="AW730">
        <v>6827</v>
      </c>
      <c r="AX730" t="s">
        <v>74</v>
      </c>
      <c r="AY730" t="s">
        <v>74</v>
      </c>
      <c r="AZ730" t="s">
        <v>74</v>
      </c>
      <c r="BA730" t="s">
        <v>74</v>
      </c>
      <c r="BB730">
        <v>457</v>
      </c>
      <c r="BC730">
        <v>461</v>
      </c>
      <c r="BD730" t="s">
        <v>74</v>
      </c>
      <c r="BE730" t="s">
        <v>9915</v>
      </c>
      <c r="BF730" t="str">
        <f>HYPERLINK("http://dx.doi.org/10.1038/35068542","http://dx.doi.org/10.1038/35068542")</f>
        <v>http://dx.doi.org/10.1038/35068542</v>
      </c>
      <c r="BG730" t="s">
        <v>74</v>
      </c>
      <c r="BH730" t="s">
        <v>74</v>
      </c>
      <c r="BI730">
        <v>6</v>
      </c>
      <c r="BJ730" t="s">
        <v>575</v>
      </c>
      <c r="BK730" t="s">
        <v>88</v>
      </c>
      <c r="BL730" t="s">
        <v>576</v>
      </c>
      <c r="BM730" t="s">
        <v>9893</v>
      </c>
      <c r="BN730">
        <v>11260710</v>
      </c>
      <c r="BO730" t="s">
        <v>74</v>
      </c>
      <c r="BP730" t="s">
        <v>74</v>
      </c>
      <c r="BQ730" t="s">
        <v>74</v>
      </c>
      <c r="BR730" t="s">
        <v>91</v>
      </c>
      <c r="BS730" t="s">
        <v>9916</v>
      </c>
      <c r="BT730" t="str">
        <f>HYPERLINK("https%3A%2F%2Fwww.webofscience.com%2Fwos%2Fwoscc%2Ffull-record%2FWOS:000167583800038","View Full Record in Web of Science")</f>
        <v>View Full Record in Web of Science</v>
      </c>
    </row>
    <row r="731" spans="1:72" x14ac:dyDescent="0.15">
      <c r="A731" t="s">
        <v>72</v>
      </c>
      <c r="B731" t="s">
        <v>9917</v>
      </c>
      <c r="C731" t="s">
        <v>74</v>
      </c>
      <c r="D731" t="s">
        <v>74</v>
      </c>
      <c r="E731" t="s">
        <v>74</v>
      </c>
      <c r="F731" t="s">
        <v>9917</v>
      </c>
      <c r="G731" t="s">
        <v>74</v>
      </c>
      <c r="H731" t="s">
        <v>74</v>
      </c>
      <c r="I731" t="s">
        <v>9918</v>
      </c>
      <c r="J731" t="s">
        <v>2045</v>
      </c>
      <c r="K731" t="s">
        <v>74</v>
      </c>
      <c r="L731" t="s">
        <v>74</v>
      </c>
      <c r="M731" t="s">
        <v>77</v>
      </c>
      <c r="N731" t="s">
        <v>120</v>
      </c>
      <c r="O731" t="s">
        <v>74</v>
      </c>
      <c r="P731" t="s">
        <v>74</v>
      </c>
      <c r="Q731" t="s">
        <v>74</v>
      </c>
      <c r="R731" t="s">
        <v>74</v>
      </c>
      <c r="S731" t="s">
        <v>74</v>
      </c>
      <c r="T731" t="s">
        <v>9919</v>
      </c>
      <c r="U731" t="s">
        <v>9920</v>
      </c>
      <c r="V731" t="s">
        <v>9921</v>
      </c>
      <c r="W731" t="s">
        <v>9922</v>
      </c>
      <c r="X731" t="s">
        <v>9923</v>
      </c>
      <c r="Y731" t="s">
        <v>9924</v>
      </c>
      <c r="Z731" t="s">
        <v>9925</v>
      </c>
      <c r="AA731" t="s">
        <v>9926</v>
      </c>
      <c r="AB731" t="s">
        <v>74</v>
      </c>
      <c r="AC731" t="s">
        <v>74</v>
      </c>
      <c r="AD731" t="s">
        <v>74</v>
      </c>
      <c r="AE731" t="s">
        <v>74</v>
      </c>
      <c r="AF731" t="s">
        <v>74</v>
      </c>
      <c r="AG731">
        <v>20</v>
      </c>
      <c r="AH731">
        <v>17</v>
      </c>
      <c r="AI731">
        <v>19</v>
      </c>
      <c r="AJ731">
        <v>0</v>
      </c>
      <c r="AK731">
        <v>16</v>
      </c>
      <c r="AL731" t="s">
        <v>2054</v>
      </c>
      <c r="AM731" t="s">
        <v>683</v>
      </c>
      <c r="AN731" t="s">
        <v>2055</v>
      </c>
      <c r="AO731" t="s">
        <v>2056</v>
      </c>
      <c r="AP731" t="s">
        <v>2057</v>
      </c>
      <c r="AQ731" t="s">
        <v>74</v>
      </c>
      <c r="AR731" t="s">
        <v>2058</v>
      </c>
      <c r="AS731" t="s">
        <v>2059</v>
      </c>
      <c r="AT731" t="s">
        <v>9879</v>
      </c>
      <c r="AU731">
        <v>2001</v>
      </c>
      <c r="AV731">
        <v>268</v>
      </c>
      <c r="AW731">
        <v>1467</v>
      </c>
      <c r="AX731" t="s">
        <v>74</v>
      </c>
      <c r="AY731" t="s">
        <v>74</v>
      </c>
      <c r="AZ731" t="s">
        <v>74</v>
      </c>
      <c r="BA731" t="s">
        <v>74</v>
      </c>
      <c r="BB731">
        <v>573</v>
      </c>
      <c r="BC731">
        <v>577</v>
      </c>
      <c r="BD731" t="s">
        <v>74</v>
      </c>
      <c r="BE731" t="s">
        <v>9927</v>
      </c>
      <c r="BF731" t="str">
        <f>HYPERLINK("http://dx.doi.org/10.1098/rspb.2000.1419","http://dx.doi.org/10.1098/rspb.2000.1419")</f>
        <v>http://dx.doi.org/10.1098/rspb.2000.1419</v>
      </c>
      <c r="BG731" t="s">
        <v>74</v>
      </c>
      <c r="BH731" t="s">
        <v>74</v>
      </c>
      <c r="BI731">
        <v>5</v>
      </c>
      <c r="BJ731" t="s">
        <v>2062</v>
      </c>
      <c r="BK731" t="s">
        <v>88</v>
      </c>
      <c r="BL731" t="s">
        <v>2063</v>
      </c>
      <c r="BM731" t="s">
        <v>9928</v>
      </c>
      <c r="BN731">
        <v>11297173</v>
      </c>
      <c r="BO731" t="s">
        <v>761</v>
      </c>
      <c r="BP731" t="s">
        <v>74</v>
      </c>
      <c r="BQ731" t="s">
        <v>74</v>
      </c>
      <c r="BR731" t="s">
        <v>91</v>
      </c>
      <c r="BS731" t="s">
        <v>9929</v>
      </c>
      <c r="BT731" t="str">
        <f>HYPERLINK("https%3A%2F%2Fwww.webofscience.com%2Fwos%2Fwoscc%2Ffull-record%2FWOS:000167671900003","View Full Record in Web of Science")</f>
        <v>View Full Record in Web of Science</v>
      </c>
    </row>
    <row r="732" spans="1:72" x14ac:dyDescent="0.15">
      <c r="A732" t="s">
        <v>72</v>
      </c>
      <c r="B732" t="s">
        <v>9930</v>
      </c>
      <c r="C732" t="s">
        <v>74</v>
      </c>
      <c r="D732" t="s">
        <v>74</v>
      </c>
      <c r="E732" t="s">
        <v>74</v>
      </c>
      <c r="F732" t="s">
        <v>9930</v>
      </c>
      <c r="G732" t="s">
        <v>74</v>
      </c>
      <c r="H732" t="s">
        <v>74</v>
      </c>
      <c r="I732" t="s">
        <v>9931</v>
      </c>
      <c r="J732" t="s">
        <v>522</v>
      </c>
      <c r="K732" t="s">
        <v>74</v>
      </c>
      <c r="L732" t="s">
        <v>74</v>
      </c>
      <c r="M732" t="s">
        <v>77</v>
      </c>
      <c r="N732" t="s">
        <v>120</v>
      </c>
      <c r="O732" t="s">
        <v>74</v>
      </c>
      <c r="P732" t="s">
        <v>74</v>
      </c>
      <c r="Q732" t="s">
        <v>74</v>
      </c>
      <c r="R732" t="s">
        <v>74</v>
      </c>
      <c r="S732" t="s">
        <v>74</v>
      </c>
      <c r="T732" t="s">
        <v>74</v>
      </c>
      <c r="U732" t="s">
        <v>9932</v>
      </c>
      <c r="V732" t="s">
        <v>9933</v>
      </c>
      <c r="W732" t="s">
        <v>9934</v>
      </c>
      <c r="X732" t="s">
        <v>9935</v>
      </c>
      <c r="Y732" t="s">
        <v>9936</v>
      </c>
      <c r="Z732" t="s">
        <v>9937</v>
      </c>
      <c r="AA732" t="s">
        <v>74</v>
      </c>
      <c r="AB732" t="s">
        <v>74</v>
      </c>
      <c r="AC732" t="s">
        <v>74</v>
      </c>
      <c r="AD732" t="s">
        <v>74</v>
      </c>
      <c r="AE732" t="s">
        <v>74</v>
      </c>
      <c r="AF732" t="s">
        <v>74</v>
      </c>
      <c r="AG732">
        <v>90</v>
      </c>
      <c r="AH732">
        <v>40</v>
      </c>
      <c r="AI732">
        <v>40</v>
      </c>
      <c r="AJ732">
        <v>0</v>
      </c>
      <c r="AK732">
        <v>2</v>
      </c>
      <c r="AL732" t="s">
        <v>149</v>
      </c>
      <c r="AM732" t="s">
        <v>150</v>
      </c>
      <c r="AN732" t="s">
        <v>151</v>
      </c>
      <c r="AO732" t="s">
        <v>531</v>
      </c>
      <c r="AP732" t="s">
        <v>532</v>
      </c>
      <c r="AQ732" t="s">
        <v>74</v>
      </c>
      <c r="AR732" t="s">
        <v>533</v>
      </c>
      <c r="AS732" t="s">
        <v>534</v>
      </c>
      <c r="AT732" t="s">
        <v>9938</v>
      </c>
      <c r="AU732">
        <v>2001</v>
      </c>
      <c r="AV732">
        <v>106</v>
      </c>
      <c r="AW732" t="s">
        <v>9939</v>
      </c>
      <c r="AX732" t="s">
        <v>74</v>
      </c>
      <c r="AY732" t="s">
        <v>74</v>
      </c>
      <c r="AZ732" t="s">
        <v>74</v>
      </c>
      <c r="BA732" t="s">
        <v>74</v>
      </c>
      <c r="BB732">
        <v>4971</v>
      </c>
      <c r="BC732">
        <v>4986</v>
      </c>
      <c r="BD732" t="s">
        <v>74</v>
      </c>
      <c r="BE732" t="s">
        <v>9940</v>
      </c>
      <c r="BF732" t="str">
        <f>HYPERLINK("http://dx.doi.org/10.1029/2000JD900458","http://dx.doi.org/10.1029/2000JD900458")</f>
        <v>http://dx.doi.org/10.1029/2000JD900458</v>
      </c>
      <c r="BG732" t="s">
        <v>74</v>
      </c>
      <c r="BH732" t="s">
        <v>74</v>
      </c>
      <c r="BI732">
        <v>16</v>
      </c>
      <c r="BJ732" t="s">
        <v>538</v>
      </c>
      <c r="BK732" t="s">
        <v>88</v>
      </c>
      <c r="BL732" t="s">
        <v>538</v>
      </c>
      <c r="BM732" t="s">
        <v>9941</v>
      </c>
      <c r="BN732" t="s">
        <v>74</v>
      </c>
      <c r="BO732" t="s">
        <v>74</v>
      </c>
      <c r="BP732" t="s">
        <v>74</v>
      </c>
      <c r="BQ732" t="s">
        <v>74</v>
      </c>
      <c r="BR732" t="s">
        <v>91</v>
      </c>
      <c r="BS732" t="s">
        <v>9942</v>
      </c>
      <c r="BT732" t="str">
        <f>HYPERLINK("https%3A%2F%2Fwww.webofscience.com%2Fwos%2Fwoscc%2Ffull-record%2FWOS:000167482900021","View Full Record in Web of Science")</f>
        <v>View Full Record in Web of Science</v>
      </c>
    </row>
    <row r="733" spans="1:72" x14ac:dyDescent="0.15">
      <c r="A733" t="s">
        <v>72</v>
      </c>
      <c r="B733" t="s">
        <v>9943</v>
      </c>
      <c r="C733" t="s">
        <v>74</v>
      </c>
      <c r="D733" t="s">
        <v>74</v>
      </c>
      <c r="E733" t="s">
        <v>74</v>
      </c>
      <c r="F733" t="s">
        <v>9943</v>
      </c>
      <c r="G733" t="s">
        <v>74</v>
      </c>
      <c r="H733" t="s">
        <v>74</v>
      </c>
      <c r="I733" t="s">
        <v>9944</v>
      </c>
      <c r="J733" t="s">
        <v>522</v>
      </c>
      <c r="K733" t="s">
        <v>74</v>
      </c>
      <c r="L733" t="s">
        <v>74</v>
      </c>
      <c r="M733" t="s">
        <v>77</v>
      </c>
      <c r="N733" t="s">
        <v>120</v>
      </c>
      <c r="O733" t="s">
        <v>74</v>
      </c>
      <c r="P733" t="s">
        <v>74</v>
      </c>
      <c r="Q733" t="s">
        <v>74</v>
      </c>
      <c r="R733" t="s">
        <v>74</v>
      </c>
      <c r="S733" t="s">
        <v>74</v>
      </c>
      <c r="T733" t="s">
        <v>74</v>
      </c>
      <c r="U733" t="s">
        <v>9945</v>
      </c>
      <c r="V733" t="s">
        <v>9946</v>
      </c>
      <c r="W733" t="s">
        <v>9947</v>
      </c>
      <c r="X733" t="s">
        <v>9948</v>
      </c>
      <c r="Y733" t="s">
        <v>9949</v>
      </c>
      <c r="Z733" t="s">
        <v>74</v>
      </c>
      <c r="AA733" t="s">
        <v>9950</v>
      </c>
      <c r="AB733" t="s">
        <v>9951</v>
      </c>
      <c r="AC733" t="s">
        <v>74</v>
      </c>
      <c r="AD733" t="s">
        <v>74</v>
      </c>
      <c r="AE733" t="s">
        <v>74</v>
      </c>
      <c r="AF733" t="s">
        <v>74</v>
      </c>
      <c r="AG733">
        <v>35</v>
      </c>
      <c r="AH733">
        <v>47</v>
      </c>
      <c r="AI733">
        <v>50</v>
      </c>
      <c r="AJ733">
        <v>0</v>
      </c>
      <c r="AK733">
        <v>20</v>
      </c>
      <c r="AL733" t="s">
        <v>149</v>
      </c>
      <c r="AM733" t="s">
        <v>150</v>
      </c>
      <c r="AN733" t="s">
        <v>151</v>
      </c>
      <c r="AO733" t="s">
        <v>4366</v>
      </c>
      <c r="AP733" t="s">
        <v>74</v>
      </c>
      <c r="AQ733" t="s">
        <v>74</v>
      </c>
      <c r="AR733" t="s">
        <v>533</v>
      </c>
      <c r="AS733" t="s">
        <v>534</v>
      </c>
      <c r="AT733" t="s">
        <v>9938</v>
      </c>
      <c r="AU733">
        <v>2001</v>
      </c>
      <c r="AV733">
        <v>106</v>
      </c>
      <c r="AW733" t="s">
        <v>9939</v>
      </c>
      <c r="AX733" t="s">
        <v>74</v>
      </c>
      <c r="AY733" t="s">
        <v>74</v>
      </c>
      <c r="AZ733" t="s">
        <v>74</v>
      </c>
      <c r="BA733" t="s">
        <v>74</v>
      </c>
      <c r="BB733">
        <v>4987</v>
      </c>
      <c r="BC733">
        <v>4994</v>
      </c>
      <c r="BD733" t="s">
        <v>74</v>
      </c>
      <c r="BE733" t="s">
        <v>9952</v>
      </c>
      <c r="BF733" t="str">
        <f>HYPERLINK("http://dx.doi.org/10.1029/2000JD900634","http://dx.doi.org/10.1029/2000JD900634")</f>
        <v>http://dx.doi.org/10.1029/2000JD900634</v>
      </c>
      <c r="BG733" t="s">
        <v>74</v>
      </c>
      <c r="BH733" t="s">
        <v>74</v>
      </c>
      <c r="BI733">
        <v>8</v>
      </c>
      <c r="BJ733" t="s">
        <v>538</v>
      </c>
      <c r="BK733" t="s">
        <v>88</v>
      </c>
      <c r="BL733" t="s">
        <v>538</v>
      </c>
      <c r="BM733" t="s">
        <v>9941</v>
      </c>
      <c r="BN733" t="s">
        <v>74</v>
      </c>
      <c r="BO733" t="s">
        <v>171</v>
      </c>
      <c r="BP733" t="s">
        <v>74</v>
      </c>
      <c r="BQ733" t="s">
        <v>74</v>
      </c>
      <c r="BR733" t="s">
        <v>91</v>
      </c>
      <c r="BS733" t="s">
        <v>9953</v>
      </c>
      <c r="BT733" t="str">
        <f>HYPERLINK("https%3A%2F%2Fwww.webofscience.com%2Fwos%2Fwoscc%2Ffull-record%2FWOS:000167482900022","View Full Record in Web of Science")</f>
        <v>View Full Record in Web of Science</v>
      </c>
    </row>
    <row r="734" spans="1:72" x14ac:dyDescent="0.15">
      <c r="A734" t="s">
        <v>72</v>
      </c>
      <c r="B734" t="s">
        <v>9954</v>
      </c>
      <c r="C734" t="s">
        <v>74</v>
      </c>
      <c r="D734" t="s">
        <v>74</v>
      </c>
      <c r="E734" t="s">
        <v>74</v>
      </c>
      <c r="F734" t="s">
        <v>9954</v>
      </c>
      <c r="G734" t="s">
        <v>74</v>
      </c>
      <c r="H734" t="s">
        <v>74</v>
      </c>
      <c r="I734" t="s">
        <v>9955</v>
      </c>
      <c r="J734" t="s">
        <v>1818</v>
      </c>
      <c r="K734" t="s">
        <v>74</v>
      </c>
      <c r="L734" t="s">
        <v>74</v>
      </c>
      <c r="M734" t="s">
        <v>9245</v>
      </c>
      <c r="N734" t="s">
        <v>120</v>
      </c>
      <c r="O734" t="s">
        <v>74</v>
      </c>
      <c r="P734" t="s">
        <v>74</v>
      </c>
      <c r="Q734" t="s">
        <v>74</v>
      </c>
      <c r="R734" t="s">
        <v>74</v>
      </c>
      <c r="S734" t="s">
        <v>74</v>
      </c>
      <c r="T734" t="s">
        <v>9956</v>
      </c>
      <c r="U734" t="s">
        <v>9957</v>
      </c>
      <c r="V734" t="s">
        <v>9958</v>
      </c>
      <c r="W734" t="s">
        <v>9959</v>
      </c>
      <c r="X734" t="s">
        <v>9960</v>
      </c>
      <c r="Y734" t="s">
        <v>9961</v>
      </c>
      <c r="Z734" t="s">
        <v>9962</v>
      </c>
      <c r="AA734" t="s">
        <v>9963</v>
      </c>
      <c r="AB734" t="s">
        <v>9964</v>
      </c>
      <c r="AC734" t="s">
        <v>74</v>
      </c>
      <c r="AD734" t="s">
        <v>74</v>
      </c>
      <c r="AE734" t="s">
        <v>74</v>
      </c>
      <c r="AF734" t="s">
        <v>74</v>
      </c>
      <c r="AG734">
        <v>14</v>
      </c>
      <c r="AH734">
        <v>2</v>
      </c>
      <c r="AI734">
        <v>2</v>
      </c>
      <c r="AJ734">
        <v>1</v>
      </c>
      <c r="AK734">
        <v>20</v>
      </c>
      <c r="AL734" t="s">
        <v>1828</v>
      </c>
      <c r="AM734" t="s">
        <v>1569</v>
      </c>
      <c r="AN734" t="s">
        <v>9965</v>
      </c>
      <c r="AO734" t="s">
        <v>1831</v>
      </c>
      <c r="AP734" t="s">
        <v>74</v>
      </c>
      <c r="AQ734" t="s">
        <v>74</v>
      </c>
      <c r="AR734" t="s">
        <v>1832</v>
      </c>
      <c r="AS734" t="s">
        <v>1833</v>
      </c>
      <c r="AT734" t="s">
        <v>9966</v>
      </c>
      <c r="AU734">
        <v>2001</v>
      </c>
      <c r="AV734">
        <v>332</v>
      </c>
      <c r="AW734">
        <v>5</v>
      </c>
      <c r="AX734" t="s">
        <v>74</v>
      </c>
      <c r="AY734" t="s">
        <v>74</v>
      </c>
      <c r="AZ734" t="s">
        <v>74</v>
      </c>
      <c r="BA734" t="s">
        <v>74</v>
      </c>
      <c r="BB734">
        <v>323</v>
      </c>
      <c r="BC734">
        <v>329</v>
      </c>
      <c r="BD734" t="s">
        <v>74</v>
      </c>
      <c r="BE734" t="s">
        <v>9967</v>
      </c>
      <c r="BF734" t="str">
        <f>HYPERLINK("http://dx.doi.org/10.1016/S1251-8050(01)01539-7","http://dx.doi.org/10.1016/S1251-8050(01)01539-7")</f>
        <v>http://dx.doi.org/10.1016/S1251-8050(01)01539-7</v>
      </c>
      <c r="BG734" t="s">
        <v>74</v>
      </c>
      <c r="BH734" t="s">
        <v>74</v>
      </c>
      <c r="BI734">
        <v>7</v>
      </c>
      <c r="BJ734" t="s">
        <v>300</v>
      </c>
      <c r="BK734" t="s">
        <v>88</v>
      </c>
      <c r="BL734" t="s">
        <v>113</v>
      </c>
      <c r="BM734" t="s">
        <v>9968</v>
      </c>
      <c r="BN734" t="s">
        <v>74</v>
      </c>
      <c r="BO734" t="s">
        <v>74</v>
      </c>
      <c r="BP734" t="s">
        <v>74</v>
      </c>
      <c r="BQ734" t="s">
        <v>74</v>
      </c>
      <c r="BR734" t="s">
        <v>91</v>
      </c>
      <c r="BS734" t="s">
        <v>9969</v>
      </c>
      <c r="BT734" t="str">
        <f>HYPERLINK("https%3A%2F%2Fwww.webofscience.com%2Fwos%2Fwoscc%2Ffull-record%2FWOS:000168415700003","View Full Record in Web of Science")</f>
        <v>View Full Record in Web of Science</v>
      </c>
    </row>
    <row r="735" spans="1:72" x14ac:dyDescent="0.15">
      <c r="A735" t="s">
        <v>72</v>
      </c>
      <c r="B735" t="s">
        <v>9970</v>
      </c>
      <c r="C735" t="s">
        <v>74</v>
      </c>
      <c r="D735" t="s">
        <v>74</v>
      </c>
      <c r="E735" t="s">
        <v>74</v>
      </c>
      <c r="F735" t="s">
        <v>9970</v>
      </c>
      <c r="G735" t="s">
        <v>74</v>
      </c>
      <c r="H735" t="s">
        <v>74</v>
      </c>
      <c r="I735" t="s">
        <v>9971</v>
      </c>
      <c r="J735" t="s">
        <v>478</v>
      </c>
      <c r="K735" t="s">
        <v>74</v>
      </c>
      <c r="L735" t="s">
        <v>74</v>
      </c>
      <c r="M735" t="s">
        <v>77</v>
      </c>
      <c r="N735" t="s">
        <v>120</v>
      </c>
      <c r="O735" t="s">
        <v>74</v>
      </c>
      <c r="P735" t="s">
        <v>74</v>
      </c>
      <c r="Q735" t="s">
        <v>74</v>
      </c>
      <c r="R735" t="s">
        <v>74</v>
      </c>
      <c r="S735" t="s">
        <v>74</v>
      </c>
      <c r="T735" t="s">
        <v>9972</v>
      </c>
      <c r="U735" t="s">
        <v>9973</v>
      </c>
      <c r="V735" t="s">
        <v>9974</v>
      </c>
      <c r="W735" t="s">
        <v>9975</v>
      </c>
      <c r="X735" t="s">
        <v>1713</v>
      </c>
      <c r="Y735" t="s">
        <v>9976</v>
      </c>
      <c r="Z735" t="s">
        <v>74</v>
      </c>
      <c r="AA735" t="s">
        <v>74</v>
      </c>
      <c r="AB735" t="s">
        <v>74</v>
      </c>
      <c r="AC735" t="s">
        <v>74</v>
      </c>
      <c r="AD735" t="s">
        <v>74</v>
      </c>
      <c r="AE735" t="s">
        <v>74</v>
      </c>
      <c r="AF735" t="s">
        <v>74</v>
      </c>
      <c r="AG735">
        <v>43</v>
      </c>
      <c r="AH735">
        <v>78</v>
      </c>
      <c r="AI735">
        <v>85</v>
      </c>
      <c r="AJ735">
        <v>0</v>
      </c>
      <c r="AK735">
        <v>15</v>
      </c>
      <c r="AL735" t="s">
        <v>488</v>
      </c>
      <c r="AM735" t="s">
        <v>350</v>
      </c>
      <c r="AN735" t="s">
        <v>489</v>
      </c>
      <c r="AO735" t="s">
        <v>490</v>
      </c>
      <c r="AP735" t="s">
        <v>74</v>
      </c>
      <c r="AQ735" t="s">
        <v>74</v>
      </c>
      <c r="AR735" t="s">
        <v>492</v>
      </c>
      <c r="AS735" t="s">
        <v>493</v>
      </c>
      <c r="AT735" t="s">
        <v>9966</v>
      </c>
      <c r="AU735">
        <v>2001</v>
      </c>
      <c r="AV735">
        <v>186</v>
      </c>
      <c r="AW735">
        <v>1</v>
      </c>
      <c r="AX735" t="s">
        <v>74</v>
      </c>
      <c r="AY735" t="s">
        <v>74</v>
      </c>
      <c r="AZ735" t="s">
        <v>74</v>
      </c>
      <c r="BA735" t="s">
        <v>74</v>
      </c>
      <c r="BB735">
        <v>33</v>
      </c>
      <c r="BC735">
        <v>43</v>
      </c>
      <c r="BD735" t="s">
        <v>74</v>
      </c>
      <c r="BE735" t="s">
        <v>9977</v>
      </c>
      <c r="BF735" t="str">
        <f>HYPERLINK("http://dx.doi.org/10.1016/S0012-821X(01)00228-X","http://dx.doi.org/10.1016/S0012-821X(01)00228-X")</f>
        <v>http://dx.doi.org/10.1016/S0012-821X(01)00228-X</v>
      </c>
      <c r="BG735" t="s">
        <v>74</v>
      </c>
      <c r="BH735" t="s">
        <v>74</v>
      </c>
      <c r="BI735">
        <v>11</v>
      </c>
      <c r="BJ735" t="s">
        <v>388</v>
      </c>
      <c r="BK735" t="s">
        <v>88</v>
      </c>
      <c r="BL735" t="s">
        <v>388</v>
      </c>
      <c r="BM735" t="s">
        <v>9978</v>
      </c>
      <c r="BN735" t="s">
        <v>74</v>
      </c>
      <c r="BO735" t="s">
        <v>74</v>
      </c>
      <c r="BP735" t="s">
        <v>74</v>
      </c>
      <c r="BQ735" t="s">
        <v>74</v>
      </c>
      <c r="BR735" t="s">
        <v>91</v>
      </c>
      <c r="BS735" t="s">
        <v>9979</v>
      </c>
      <c r="BT735" t="str">
        <f>HYPERLINK("https%3A%2F%2Fwww.webofscience.com%2Fwos%2Fwoscc%2Ffull-record%2FWOS:000167597400004","View Full Record in Web of Science")</f>
        <v>View Full Record in Web of Science</v>
      </c>
    </row>
    <row r="736" spans="1:72" x14ac:dyDescent="0.15">
      <c r="A736" t="s">
        <v>72</v>
      </c>
      <c r="B736" t="s">
        <v>9980</v>
      </c>
      <c r="C736" t="s">
        <v>74</v>
      </c>
      <c r="D736" t="s">
        <v>74</v>
      </c>
      <c r="E736" t="s">
        <v>74</v>
      </c>
      <c r="F736" t="s">
        <v>9980</v>
      </c>
      <c r="G736" t="s">
        <v>74</v>
      </c>
      <c r="H736" t="s">
        <v>74</v>
      </c>
      <c r="I736" t="s">
        <v>9981</v>
      </c>
      <c r="J736" t="s">
        <v>613</v>
      </c>
      <c r="K736" t="s">
        <v>74</v>
      </c>
      <c r="L736" t="s">
        <v>74</v>
      </c>
      <c r="M736" t="s">
        <v>77</v>
      </c>
      <c r="N736" t="s">
        <v>120</v>
      </c>
      <c r="O736" t="s">
        <v>74</v>
      </c>
      <c r="P736" t="s">
        <v>74</v>
      </c>
      <c r="Q736" t="s">
        <v>74</v>
      </c>
      <c r="R736" t="s">
        <v>74</v>
      </c>
      <c r="S736" t="s">
        <v>74</v>
      </c>
      <c r="T736" t="s">
        <v>74</v>
      </c>
      <c r="U736" t="s">
        <v>9982</v>
      </c>
      <c r="V736" t="s">
        <v>9983</v>
      </c>
      <c r="W736" t="s">
        <v>9984</v>
      </c>
      <c r="X736" t="s">
        <v>9985</v>
      </c>
      <c r="Y736" t="s">
        <v>9986</v>
      </c>
      <c r="Z736" t="s">
        <v>74</v>
      </c>
      <c r="AA736" t="s">
        <v>9987</v>
      </c>
      <c r="AB736" t="s">
        <v>9988</v>
      </c>
      <c r="AC736" t="s">
        <v>74</v>
      </c>
      <c r="AD736" t="s">
        <v>74</v>
      </c>
      <c r="AE736" t="s">
        <v>74</v>
      </c>
      <c r="AF736" t="s">
        <v>74</v>
      </c>
      <c r="AG736">
        <v>15</v>
      </c>
      <c r="AH736">
        <v>39</v>
      </c>
      <c r="AI736">
        <v>44</v>
      </c>
      <c r="AJ736">
        <v>0</v>
      </c>
      <c r="AK736">
        <v>4</v>
      </c>
      <c r="AL736" t="s">
        <v>149</v>
      </c>
      <c r="AM736" t="s">
        <v>150</v>
      </c>
      <c r="AN736" t="s">
        <v>151</v>
      </c>
      <c r="AO736" t="s">
        <v>619</v>
      </c>
      <c r="AP736" t="s">
        <v>74</v>
      </c>
      <c r="AQ736" t="s">
        <v>74</v>
      </c>
      <c r="AR736" t="s">
        <v>620</v>
      </c>
      <c r="AS736" t="s">
        <v>621</v>
      </c>
      <c r="AT736" t="s">
        <v>9966</v>
      </c>
      <c r="AU736">
        <v>2001</v>
      </c>
      <c r="AV736">
        <v>28</v>
      </c>
      <c r="AW736">
        <v>6</v>
      </c>
      <c r="AX736" t="s">
        <v>74</v>
      </c>
      <c r="AY736" t="s">
        <v>74</v>
      </c>
      <c r="AZ736" t="s">
        <v>74</v>
      </c>
      <c r="BA736" t="s">
        <v>74</v>
      </c>
      <c r="BB736">
        <v>999</v>
      </c>
      <c r="BC736">
        <v>1002</v>
      </c>
      <c r="BD736" t="s">
        <v>74</v>
      </c>
      <c r="BE736" t="s">
        <v>9989</v>
      </c>
      <c r="BF736" t="str">
        <f>HYPERLINK("http://dx.doi.org/10.1029/2000GL012423","http://dx.doi.org/10.1029/2000GL012423")</f>
        <v>http://dx.doi.org/10.1029/2000GL012423</v>
      </c>
      <c r="BG736" t="s">
        <v>74</v>
      </c>
      <c r="BH736" t="s">
        <v>74</v>
      </c>
      <c r="BI736">
        <v>4</v>
      </c>
      <c r="BJ736" t="s">
        <v>300</v>
      </c>
      <c r="BK736" t="s">
        <v>88</v>
      </c>
      <c r="BL736" t="s">
        <v>113</v>
      </c>
      <c r="BM736" t="s">
        <v>9990</v>
      </c>
      <c r="BN736" t="s">
        <v>74</v>
      </c>
      <c r="BO736" t="s">
        <v>74</v>
      </c>
      <c r="BP736" t="s">
        <v>74</v>
      </c>
      <c r="BQ736" t="s">
        <v>74</v>
      </c>
      <c r="BR736" t="s">
        <v>91</v>
      </c>
      <c r="BS736" t="s">
        <v>9991</v>
      </c>
      <c r="BT736" t="str">
        <f>HYPERLINK("https%3A%2F%2Fwww.webofscience.com%2Fwos%2Fwoscc%2Ffull-record%2FWOS:000167494200013","View Full Record in Web of Science")</f>
        <v>View Full Record in Web of Science</v>
      </c>
    </row>
    <row r="737" spans="1:72" x14ac:dyDescent="0.15">
      <c r="A737" t="s">
        <v>72</v>
      </c>
      <c r="B737" t="s">
        <v>9992</v>
      </c>
      <c r="C737" t="s">
        <v>74</v>
      </c>
      <c r="D737" t="s">
        <v>74</v>
      </c>
      <c r="E737" t="s">
        <v>74</v>
      </c>
      <c r="F737" t="s">
        <v>9992</v>
      </c>
      <c r="G737" t="s">
        <v>74</v>
      </c>
      <c r="H737" t="s">
        <v>74</v>
      </c>
      <c r="I737" t="s">
        <v>9993</v>
      </c>
      <c r="J737" t="s">
        <v>655</v>
      </c>
      <c r="K737" t="s">
        <v>74</v>
      </c>
      <c r="L737" t="s">
        <v>74</v>
      </c>
      <c r="M737" t="s">
        <v>77</v>
      </c>
      <c r="N737" t="s">
        <v>120</v>
      </c>
      <c r="O737" t="s">
        <v>74</v>
      </c>
      <c r="P737" t="s">
        <v>74</v>
      </c>
      <c r="Q737" t="s">
        <v>74</v>
      </c>
      <c r="R737" t="s">
        <v>74</v>
      </c>
      <c r="S737" t="s">
        <v>74</v>
      </c>
      <c r="T737" t="s">
        <v>74</v>
      </c>
      <c r="U737" t="s">
        <v>9994</v>
      </c>
      <c r="V737" t="s">
        <v>9995</v>
      </c>
      <c r="W737" t="s">
        <v>9996</v>
      </c>
      <c r="X737" t="s">
        <v>9997</v>
      </c>
      <c r="Y737" t="s">
        <v>9998</v>
      </c>
      <c r="Z737" t="s">
        <v>9999</v>
      </c>
      <c r="AA737" t="s">
        <v>74</v>
      </c>
      <c r="AB737" t="s">
        <v>74</v>
      </c>
      <c r="AC737" t="s">
        <v>74</v>
      </c>
      <c r="AD737" t="s">
        <v>74</v>
      </c>
      <c r="AE737" t="s">
        <v>74</v>
      </c>
      <c r="AF737" t="s">
        <v>74</v>
      </c>
      <c r="AG737">
        <v>18</v>
      </c>
      <c r="AH737">
        <v>37</v>
      </c>
      <c r="AI737">
        <v>40</v>
      </c>
      <c r="AJ737">
        <v>0</v>
      </c>
      <c r="AK737">
        <v>1</v>
      </c>
      <c r="AL737" t="s">
        <v>149</v>
      </c>
      <c r="AM737" t="s">
        <v>150</v>
      </c>
      <c r="AN737" t="s">
        <v>151</v>
      </c>
      <c r="AO737" t="s">
        <v>662</v>
      </c>
      <c r="AP737" t="s">
        <v>663</v>
      </c>
      <c r="AQ737" t="s">
        <v>74</v>
      </c>
      <c r="AR737" t="s">
        <v>664</v>
      </c>
      <c r="AS737" t="s">
        <v>665</v>
      </c>
      <c r="AT737" t="s">
        <v>9966</v>
      </c>
      <c r="AU737">
        <v>2001</v>
      </c>
      <c r="AV737">
        <v>106</v>
      </c>
      <c r="AW737" t="s">
        <v>10000</v>
      </c>
      <c r="AX737" t="s">
        <v>74</v>
      </c>
      <c r="AY737" t="s">
        <v>74</v>
      </c>
      <c r="AZ737" t="s">
        <v>74</v>
      </c>
      <c r="BA737" t="s">
        <v>74</v>
      </c>
      <c r="BB737">
        <v>4391</v>
      </c>
      <c r="BC737">
        <v>4395</v>
      </c>
      <c r="BD737" t="s">
        <v>74</v>
      </c>
      <c r="BE737" t="s">
        <v>10001</v>
      </c>
      <c r="BF737" t="str">
        <f>HYPERLINK("http://dx.doi.org/10.1029/2000JC000230","http://dx.doi.org/10.1029/2000JC000230")</f>
        <v>http://dx.doi.org/10.1029/2000JC000230</v>
      </c>
      <c r="BG737" t="s">
        <v>74</v>
      </c>
      <c r="BH737" t="s">
        <v>74</v>
      </c>
      <c r="BI737">
        <v>5</v>
      </c>
      <c r="BJ737" t="s">
        <v>668</v>
      </c>
      <c r="BK737" t="s">
        <v>88</v>
      </c>
      <c r="BL737" t="s">
        <v>668</v>
      </c>
      <c r="BM737" t="s">
        <v>10002</v>
      </c>
      <c r="BN737" t="s">
        <v>74</v>
      </c>
      <c r="BO737" t="s">
        <v>74</v>
      </c>
      <c r="BP737" t="s">
        <v>74</v>
      </c>
      <c r="BQ737" t="s">
        <v>74</v>
      </c>
      <c r="BR737" t="s">
        <v>91</v>
      </c>
      <c r="BS737" t="s">
        <v>10003</v>
      </c>
      <c r="BT737" t="str">
        <f>HYPERLINK("https%3A%2F%2Fwww.webofscience.com%2Fwos%2Fwoscc%2Ffull-record%2FWOS:000167409600003","View Full Record in Web of Science")</f>
        <v>View Full Record in Web of Science</v>
      </c>
    </row>
    <row r="738" spans="1:72" x14ac:dyDescent="0.15">
      <c r="A738" t="s">
        <v>72</v>
      </c>
      <c r="B738" t="s">
        <v>10004</v>
      </c>
      <c r="C738" t="s">
        <v>74</v>
      </c>
      <c r="D738" t="s">
        <v>74</v>
      </c>
      <c r="E738" t="s">
        <v>74</v>
      </c>
      <c r="F738" t="s">
        <v>10004</v>
      </c>
      <c r="G738" t="s">
        <v>74</v>
      </c>
      <c r="H738" t="s">
        <v>74</v>
      </c>
      <c r="I738" t="s">
        <v>10005</v>
      </c>
      <c r="J738" t="s">
        <v>10006</v>
      </c>
      <c r="K738" t="s">
        <v>74</v>
      </c>
      <c r="L738" t="s">
        <v>74</v>
      </c>
      <c r="M738" t="s">
        <v>77</v>
      </c>
      <c r="N738" t="s">
        <v>120</v>
      </c>
      <c r="O738" t="s">
        <v>74</v>
      </c>
      <c r="P738" t="s">
        <v>74</v>
      </c>
      <c r="Q738" t="s">
        <v>74</v>
      </c>
      <c r="R738" t="s">
        <v>74</v>
      </c>
      <c r="S738" t="s">
        <v>74</v>
      </c>
      <c r="T738" t="s">
        <v>10007</v>
      </c>
      <c r="U738" t="s">
        <v>10008</v>
      </c>
      <c r="V738" t="s">
        <v>10009</v>
      </c>
      <c r="W738" t="s">
        <v>10010</v>
      </c>
      <c r="X738" t="s">
        <v>10011</v>
      </c>
      <c r="Y738" t="s">
        <v>10012</v>
      </c>
      <c r="Z738" t="s">
        <v>74</v>
      </c>
      <c r="AA738" t="s">
        <v>74</v>
      </c>
      <c r="AB738" t="s">
        <v>74</v>
      </c>
      <c r="AC738" t="s">
        <v>74</v>
      </c>
      <c r="AD738" t="s">
        <v>74</v>
      </c>
      <c r="AE738" t="s">
        <v>74</v>
      </c>
      <c r="AF738" t="s">
        <v>74</v>
      </c>
      <c r="AG738">
        <v>20</v>
      </c>
      <c r="AH738">
        <v>14</v>
      </c>
      <c r="AI738">
        <v>15</v>
      </c>
      <c r="AJ738">
        <v>0</v>
      </c>
      <c r="AK738">
        <v>8</v>
      </c>
      <c r="AL738" t="s">
        <v>4847</v>
      </c>
      <c r="AM738" t="s">
        <v>204</v>
      </c>
      <c r="AN738" t="s">
        <v>4848</v>
      </c>
      <c r="AO738" t="s">
        <v>10013</v>
      </c>
      <c r="AP738" t="s">
        <v>74</v>
      </c>
      <c r="AQ738" t="s">
        <v>74</v>
      </c>
      <c r="AR738" t="s">
        <v>10006</v>
      </c>
      <c r="AS738" t="s">
        <v>10014</v>
      </c>
      <c r="AT738" t="s">
        <v>9966</v>
      </c>
      <c r="AU738">
        <v>2001</v>
      </c>
      <c r="AV738">
        <v>55</v>
      </c>
      <c r="AW738">
        <v>5</v>
      </c>
      <c r="AX738" t="s">
        <v>74</v>
      </c>
      <c r="AY738" t="s">
        <v>74</v>
      </c>
      <c r="AZ738" t="s">
        <v>74</v>
      </c>
      <c r="BA738" t="s">
        <v>74</v>
      </c>
      <c r="BB738">
        <v>1127</v>
      </c>
      <c r="BC738">
        <v>1141</v>
      </c>
      <c r="BD738" t="s">
        <v>74</v>
      </c>
      <c r="BE738" t="s">
        <v>10015</v>
      </c>
      <c r="BF738" t="str">
        <f>HYPERLINK("http://dx.doi.org/10.1016/S0093-691X(01)00472-1","http://dx.doi.org/10.1016/S0093-691X(01)00472-1")</f>
        <v>http://dx.doi.org/10.1016/S0093-691X(01)00472-1</v>
      </c>
      <c r="BG738" t="s">
        <v>74</v>
      </c>
      <c r="BH738" t="s">
        <v>74</v>
      </c>
      <c r="BI738">
        <v>15</v>
      </c>
      <c r="BJ738" t="s">
        <v>10016</v>
      </c>
      <c r="BK738" t="s">
        <v>88</v>
      </c>
      <c r="BL738" t="s">
        <v>10016</v>
      </c>
      <c r="BM738" t="s">
        <v>10017</v>
      </c>
      <c r="BN738">
        <v>11322240</v>
      </c>
      <c r="BO738" t="s">
        <v>74</v>
      </c>
      <c r="BP738" t="s">
        <v>74</v>
      </c>
      <c r="BQ738" t="s">
        <v>74</v>
      </c>
      <c r="BR738" t="s">
        <v>91</v>
      </c>
      <c r="BS738" t="s">
        <v>10018</v>
      </c>
      <c r="BT738" t="str">
        <f>HYPERLINK("https%3A%2F%2Fwww.webofscience.com%2Fwos%2Fwoscc%2Ffull-record%2FWOS:000168077000009","View Full Record in Web of Science")</f>
        <v>View Full Record in Web of Science</v>
      </c>
    </row>
    <row r="739" spans="1:72" x14ac:dyDescent="0.15">
      <c r="A739" t="s">
        <v>72</v>
      </c>
      <c r="B739" t="s">
        <v>10019</v>
      </c>
      <c r="C739" t="s">
        <v>74</v>
      </c>
      <c r="D739" t="s">
        <v>74</v>
      </c>
      <c r="E739" t="s">
        <v>74</v>
      </c>
      <c r="F739" t="s">
        <v>10019</v>
      </c>
      <c r="G739" t="s">
        <v>74</v>
      </c>
      <c r="H739" t="s">
        <v>74</v>
      </c>
      <c r="I739" t="s">
        <v>10020</v>
      </c>
      <c r="J739" t="s">
        <v>10021</v>
      </c>
      <c r="K739" t="s">
        <v>74</v>
      </c>
      <c r="L739" t="s">
        <v>74</v>
      </c>
      <c r="M739" t="s">
        <v>77</v>
      </c>
      <c r="N739" t="s">
        <v>120</v>
      </c>
      <c r="O739" t="s">
        <v>74</v>
      </c>
      <c r="P739" t="s">
        <v>74</v>
      </c>
      <c r="Q739" t="s">
        <v>74</v>
      </c>
      <c r="R739" t="s">
        <v>74</v>
      </c>
      <c r="S739" t="s">
        <v>74</v>
      </c>
      <c r="T739" t="s">
        <v>74</v>
      </c>
      <c r="U739" t="s">
        <v>10022</v>
      </c>
      <c r="V739" t="s">
        <v>10023</v>
      </c>
      <c r="W739" t="s">
        <v>10024</v>
      </c>
      <c r="X739" t="s">
        <v>10025</v>
      </c>
      <c r="Y739" t="s">
        <v>10026</v>
      </c>
      <c r="Z739" t="s">
        <v>74</v>
      </c>
      <c r="AA739" t="s">
        <v>74</v>
      </c>
      <c r="AB739" t="s">
        <v>74</v>
      </c>
      <c r="AC739" t="s">
        <v>74</v>
      </c>
      <c r="AD739" t="s">
        <v>74</v>
      </c>
      <c r="AE739" t="s">
        <v>74</v>
      </c>
      <c r="AF739" t="s">
        <v>74</v>
      </c>
      <c r="AG739">
        <v>20</v>
      </c>
      <c r="AH739">
        <v>10</v>
      </c>
      <c r="AI739">
        <v>10</v>
      </c>
      <c r="AJ739">
        <v>0</v>
      </c>
      <c r="AK739">
        <v>4</v>
      </c>
      <c r="AL739" t="s">
        <v>508</v>
      </c>
      <c r="AM739" t="s">
        <v>150</v>
      </c>
      <c r="AN739" t="s">
        <v>509</v>
      </c>
      <c r="AO739" t="s">
        <v>10027</v>
      </c>
      <c r="AP739" t="s">
        <v>74</v>
      </c>
      <c r="AQ739" t="s">
        <v>74</v>
      </c>
      <c r="AR739" t="s">
        <v>10028</v>
      </c>
      <c r="AS739" t="s">
        <v>10029</v>
      </c>
      <c r="AT739" t="s">
        <v>10030</v>
      </c>
      <c r="AU739">
        <v>2001</v>
      </c>
      <c r="AV739">
        <v>40</v>
      </c>
      <c r="AW739">
        <v>10</v>
      </c>
      <c r="AX739" t="s">
        <v>74</v>
      </c>
      <c r="AY739" t="s">
        <v>74</v>
      </c>
      <c r="AZ739" t="s">
        <v>74</v>
      </c>
      <c r="BA739" t="s">
        <v>74</v>
      </c>
      <c r="BB739">
        <v>3062</v>
      </c>
      <c r="BC739">
        <v>3068</v>
      </c>
      <c r="BD739" t="s">
        <v>74</v>
      </c>
      <c r="BE739" t="s">
        <v>10031</v>
      </c>
      <c r="BF739" t="str">
        <f>HYPERLINK("http://dx.doi.org/10.1021/bi002297j","http://dx.doi.org/10.1021/bi002297j")</f>
        <v>http://dx.doi.org/10.1021/bi002297j</v>
      </c>
      <c r="BG739" t="s">
        <v>74</v>
      </c>
      <c r="BH739" t="s">
        <v>74</v>
      </c>
      <c r="BI739">
        <v>7</v>
      </c>
      <c r="BJ739" t="s">
        <v>2248</v>
      </c>
      <c r="BK739" t="s">
        <v>88</v>
      </c>
      <c r="BL739" t="s">
        <v>2248</v>
      </c>
      <c r="BM739" t="s">
        <v>10032</v>
      </c>
      <c r="BN739">
        <v>11258920</v>
      </c>
      <c r="BO739" t="s">
        <v>74</v>
      </c>
      <c r="BP739" t="s">
        <v>74</v>
      </c>
      <c r="BQ739" t="s">
        <v>74</v>
      </c>
      <c r="BR739" t="s">
        <v>91</v>
      </c>
      <c r="BS739" t="s">
        <v>10033</v>
      </c>
      <c r="BT739" t="str">
        <f>HYPERLINK("https%3A%2F%2Fwww.webofscience.com%2Fwos%2Fwoscc%2Ffull-record%2FWOS:000167407000007","View Full Record in Web of Science")</f>
        <v>View Full Record in Web of Science</v>
      </c>
    </row>
    <row r="740" spans="1:72" x14ac:dyDescent="0.15">
      <c r="A740" t="s">
        <v>72</v>
      </c>
      <c r="B740" t="s">
        <v>10034</v>
      </c>
      <c r="C740" t="s">
        <v>74</v>
      </c>
      <c r="D740" t="s">
        <v>74</v>
      </c>
      <c r="E740" t="s">
        <v>74</v>
      </c>
      <c r="F740" t="s">
        <v>10034</v>
      </c>
      <c r="G740" t="s">
        <v>74</v>
      </c>
      <c r="H740" t="s">
        <v>74</v>
      </c>
      <c r="I740" t="s">
        <v>10035</v>
      </c>
      <c r="J740" t="s">
        <v>4573</v>
      </c>
      <c r="K740" t="s">
        <v>74</v>
      </c>
      <c r="L740" t="s">
        <v>74</v>
      </c>
      <c r="M740" t="s">
        <v>77</v>
      </c>
      <c r="N740" t="s">
        <v>120</v>
      </c>
      <c r="O740" t="s">
        <v>74</v>
      </c>
      <c r="P740" t="s">
        <v>74</v>
      </c>
      <c r="Q740" t="s">
        <v>74</v>
      </c>
      <c r="R740" t="s">
        <v>74</v>
      </c>
      <c r="S740" t="s">
        <v>74</v>
      </c>
      <c r="T740" t="s">
        <v>74</v>
      </c>
      <c r="U740" t="s">
        <v>10036</v>
      </c>
      <c r="V740" t="s">
        <v>10037</v>
      </c>
      <c r="W740" t="s">
        <v>10038</v>
      </c>
      <c r="X740" t="s">
        <v>10039</v>
      </c>
      <c r="Y740" t="s">
        <v>10040</v>
      </c>
      <c r="Z740" t="s">
        <v>10041</v>
      </c>
      <c r="AA740" t="s">
        <v>74</v>
      </c>
      <c r="AB740" t="s">
        <v>74</v>
      </c>
      <c r="AC740" t="s">
        <v>74</v>
      </c>
      <c r="AD740" t="s">
        <v>74</v>
      </c>
      <c r="AE740" t="s">
        <v>74</v>
      </c>
      <c r="AF740" t="s">
        <v>74</v>
      </c>
      <c r="AG740">
        <v>53</v>
      </c>
      <c r="AH740">
        <v>10</v>
      </c>
      <c r="AI740">
        <v>10</v>
      </c>
      <c r="AJ740">
        <v>0</v>
      </c>
      <c r="AK740">
        <v>4</v>
      </c>
      <c r="AL740" t="s">
        <v>149</v>
      </c>
      <c r="AM740" t="s">
        <v>150</v>
      </c>
      <c r="AN740" t="s">
        <v>151</v>
      </c>
      <c r="AO740" t="s">
        <v>4582</v>
      </c>
      <c r="AP740" t="s">
        <v>4583</v>
      </c>
      <c r="AQ740" t="s">
        <v>74</v>
      </c>
      <c r="AR740" t="s">
        <v>4584</v>
      </c>
      <c r="AS740" t="s">
        <v>4585</v>
      </c>
      <c r="AT740" t="s">
        <v>10042</v>
      </c>
      <c r="AU740">
        <v>2001</v>
      </c>
      <c r="AV740">
        <v>106</v>
      </c>
      <c r="AW740" t="s">
        <v>10043</v>
      </c>
      <c r="AX740" t="s">
        <v>74</v>
      </c>
      <c r="AY740" t="s">
        <v>74</v>
      </c>
      <c r="AZ740" t="s">
        <v>74</v>
      </c>
      <c r="BA740" t="s">
        <v>74</v>
      </c>
      <c r="BB740">
        <v>4293</v>
      </c>
      <c r="BC740">
        <v>4304</v>
      </c>
      <c r="BD740" t="s">
        <v>74</v>
      </c>
      <c r="BE740" t="s">
        <v>10044</v>
      </c>
      <c r="BF740" t="str">
        <f>HYPERLINK("http://dx.doi.org/10.1029/1998JB900028","http://dx.doi.org/10.1029/1998JB900028")</f>
        <v>http://dx.doi.org/10.1029/1998JB900028</v>
      </c>
      <c r="BG740" t="s">
        <v>74</v>
      </c>
      <c r="BH740" t="s">
        <v>74</v>
      </c>
      <c r="BI740">
        <v>12</v>
      </c>
      <c r="BJ740" t="s">
        <v>388</v>
      </c>
      <c r="BK740" t="s">
        <v>88</v>
      </c>
      <c r="BL740" t="s">
        <v>388</v>
      </c>
      <c r="BM740" t="s">
        <v>10045</v>
      </c>
      <c r="BN740" t="s">
        <v>74</v>
      </c>
      <c r="BO740" t="s">
        <v>171</v>
      </c>
      <c r="BP740" t="s">
        <v>74</v>
      </c>
      <c r="BQ740" t="s">
        <v>74</v>
      </c>
      <c r="BR740" t="s">
        <v>91</v>
      </c>
      <c r="BS740" t="s">
        <v>10046</v>
      </c>
      <c r="BT740" t="str">
        <f>HYPERLINK("https%3A%2F%2Fwww.webofscience.com%2Fwos%2Fwoscc%2Ffull-record%2FWOS:000167379500023","View Full Record in Web of Science")</f>
        <v>View Full Record in Web of Science</v>
      </c>
    </row>
    <row r="741" spans="1:72" x14ac:dyDescent="0.15">
      <c r="A741" t="s">
        <v>72</v>
      </c>
      <c r="B741" t="s">
        <v>10047</v>
      </c>
      <c r="C741" t="s">
        <v>74</v>
      </c>
      <c r="D741" t="s">
        <v>74</v>
      </c>
      <c r="E741" t="s">
        <v>74</v>
      </c>
      <c r="F741" t="s">
        <v>10047</v>
      </c>
      <c r="G741" t="s">
        <v>74</v>
      </c>
      <c r="H741" t="s">
        <v>74</v>
      </c>
      <c r="I741" t="s">
        <v>10048</v>
      </c>
      <c r="J741" t="s">
        <v>1867</v>
      </c>
      <c r="K741" t="s">
        <v>74</v>
      </c>
      <c r="L741" t="s">
        <v>74</v>
      </c>
      <c r="M741" t="s">
        <v>77</v>
      </c>
      <c r="N741" t="s">
        <v>120</v>
      </c>
      <c r="O741" t="s">
        <v>74</v>
      </c>
      <c r="P741" t="s">
        <v>74</v>
      </c>
      <c r="Q741" t="s">
        <v>74</v>
      </c>
      <c r="R741" t="s">
        <v>74</v>
      </c>
      <c r="S741" t="s">
        <v>74</v>
      </c>
      <c r="T741" t="s">
        <v>74</v>
      </c>
      <c r="U741" t="s">
        <v>10049</v>
      </c>
      <c r="V741" t="s">
        <v>10050</v>
      </c>
      <c r="W741" t="s">
        <v>10051</v>
      </c>
      <c r="X741" t="s">
        <v>10052</v>
      </c>
      <c r="Y741" t="s">
        <v>10053</v>
      </c>
      <c r="Z741" t="s">
        <v>74</v>
      </c>
      <c r="AA741" t="s">
        <v>74</v>
      </c>
      <c r="AB741" t="s">
        <v>74</v>
      </c>
      <c r="AC741" t="s">
        <v>74</v>
      </c>
      <c r="AD741" t="s">
        <v>74</v>
      </c>
      <c r="AE741" t="s">
        <v>74</v>
      </c>
      <c r="AF741" t="s">
        <v>74</v>
      </c>
      <c r="AG741">
        <v>23</v>
      </c>
      <c r="AH741">
        <v>84</v>
      </c>
      <c r="AI741">
        <v>95</v>
      </c>
      <c r="AJ741">
        <v>0</v>
      </c>
      <c r="AK741">
        <v>12</v>
      </c>
      <c r="AL741" t="s">
        <v>1872</v>
      </c>
      <c r="AM741" t="s">
        <v>150</v>
      </c>
      <c r="AN741" t="s">
        <v>1873</v>
      </c>
      <c r="AO741" t="s">
        <v>1874</v>
      </c>
      <c r="AP741" t="s">
        <v>74</v>
      </c>
      <c r="AQ741" t="s">
        <v>74</v>
      </c>
      <c r="AR741" t="s">
        <v>1867</v>
      </c>
      <c r="AS741" t="s">
        <v>1875</v>
      </c>
      <c r="AT741" t="s">
        <v>10054</v>
      </c>
      <c r="AU741">
        <v>2001</v>
      </c>
      <c r="AV741">
        <v>291</v>
      </c>
      <c r="AW741">
        <v>5510</v>
      </c>
      <c r="AX741" t="s">
        <v>74</v>
      </c>
      <c r="AY741" t="s">
        <v>74</v>
      </c>
      <c r="AZ741" t="s">
        <v>74</v>
      </c>
      <c r="BA741" t="s">
        <v>74</v>
      </c>
      <c r="BB741">
        <v>1950</v>
      </c>
      <c r="BC741">
        <v>1952</v>
      </c>
      <c r="BD741" t="s">
        <v>74</v>
      </c>
      <c r="BE741" t="s">
        <v>10055</v>
      </c>
      <c r="BF741" t="str">
        <f>HYPERLINK("http://dx.doi.org/10.1126/science.1056341","http://dx.doi.org/10.1126/science.1056341")</f>
        <v>http://dx.doi.org/10.1126/science.1056341</v>
      </c>
      <c r="BG741" t="s">
        <v>74</v>
      </c>
      <c r="BH741" t="s">
        <v>74</v>
      </c>
      <c r="BI741">
        <v>3</v>
      </c>
      <c r="BJ741" t="s">
        <v>575</v>
      </c>
      <c r="BK741" t="s">
        <v>88</v>
      </c>
      <c r="BL741" t="s">
        <v>576</v>
      </c>
      <c r="BM741" t="s">
        <v>10056</v>
      </c>
      <c r="BN741">
        <v>11239152</v>
      </c>
      <c r="BO741" t="s">
        <v>171</v>
      </c>
      <c r="BP741" t="s">
        <v>74</v>
      </c>
      <c r="BQ741" t="s">
        <v>74</v>
      </c>
      <c r="BR741" t="s">
        <v>91</v>
      </c>
      <c r="BS741" t="s">
        <v>10057</v>
      </c>
      <c r="BT741" t="str">
        <f>HYPERLINK("https%3A%2F%2Fwww.webofscience.com%2Fwos%2Fwoscc%2Ffull-record%2FWOS:000167401600042","View Full Record in Web of Science")</f>
        <v>View Full Record in Web of Science</v>
      </c>
    </row>
    <row r="742" spans="1:72" x14ac:dyDescent="0.15">
      <c r="A742" t="s">
        <v>72</v>
      </c>
      <c r="B742" t="s">
        <v>10058</v>
      </c>
      <c r="C742" t="s">
        <v>74</v>
      </c>
      <c r="D742" t="s">
        <v>74</v>
      </c>
      <c r="E742" t="s">
        <v>74</v>
      </c>
      <c r="F742" t="s">
        <v>10058</v>
      </c>
      <c r="G742" t="s">
        <v>74</v>
      </c>
      <c r="H742" t="s">
        <v>74</v>
      </c>
      <c r="I742" t="s">
        <v>10059</v>
      </c>
      <c r="J742" t="s">
        <v>10060</v>
      </c>
      <c r="K742" t="s">
        <v>74</v>
      </c>
      <c r="L742" t="s">
        <v>74</v>
      </c>
      <c r="M742" t="s">
        <v>77</v>
      </c>
      <c r="N742" t="s">
        <v>52</v>
      </c>
      <c r="O742" t="s">
        <v>74</v>
      </c>
      <c r="P742" t="s">
        <v>74</v>
      </c>
      <c r="Q742" t="s">
        <v>74</v>
      </c>
      <c r="R742" t="s">
        <v>74</v>
      </c>
      <c r="S742" t="s">
        <v>74</v>
      </c>
      <c r="T742" t="s">
        <v>74</v>
      </c>
      <c r="U742" t="s">
        <v>74</v>
      </c>
      <c r="V742" t="s">
        <v>74</v>
      </c>
      <c r="W742" t="s">
        <v>10061</v>
      </c>
      <c r="X742" t="s">
        <v>10062</v>
      </c>
      <c r="Y742" t="s">
        <v>74</v>
      </c>
      <c r="Z742" t="s">
        <v>74</v>
      </c>
      <c r="AA742" t="s">
        <v>74</v>
      </c>
      <c r="AB742" t="s">
        <v>74</v>
      </c>
      <c r="AC742" t="s">
        <v>74</v>
      </c>
      <c r="AD742" t="s">
        <v>74</v>
      </c>
      <c r="AE742" t="s">
        <v>74</v>
      </c>
      <c r="AF742" t="s">
        <v>74</v>
      </c>
      <c r="AG742">
        <v>0</v>
      </c>
      <c r="AH742">
        <v>0</v>
      </c>
      <c r="AI742">
        <v>0</v>
      </c>
      <c r="AJ742">
        <v>0</v>
      </c>
      <c r="AK742">
        <v>0</v>
      </c>
      <c r="AL742" t="s">
        <v>10063</v>
      </c>
      <c r="AM742" t="s">
        <v>5637</v>
      </c>
      <c r="AN742" t="s">
        <v>10064</v>
      </c>
      <c r="AO742" t="s">
        <v>10065</v>
      </c>
      <c r="AP742" t="s">
        <v>74</v>
      </c>
      <c r="AQ742" t="s">
        <v>74</v>
      </c>
      <c r="AR742" t="s">
        <v>10066</v>
      </c>
      <c r="AS742" t="s">
        <v>10067</v>
      </c>
      <c r="AT742" t="s">
        <v>10068</v>
      </c>
      <c r="AU742">
        <v>2001</v>
      </c>
      <c r="AV742">
        <v>15</v>
      </c>
      <c r="AW742">
        <v>5</v>
      </c>
      <c r="AX742">
        <v>2</v>
      </c>
      <c r="AY742" t="s">
        <v>74</v>
      </c>
      <c r="AZ742" t="s">
        <v>74</v>
      </c>
      <c r="BA742" t="s">
        <v>74</v>
      </c>
      <c r="BB742" t="s">
        <v>10069</v>
      </c>
      <c r="BC742" t="s">
        <v>10069</v>
      </c>
      <c r="BD742" t="s">
        <v>74</v>
      </c>
      <c r="BE742" t="s">
        <v>74</v>
      </c>
      <c r="BF742" t="s">
        <v>74</v>
      </c>
      <c r="BG742" t="s">
        <v>74</v>
      </c>
      <c r="BH742" t="s">
        <v>74</v>
      </c>
      <c r="BI742">
        <v>1</v>
      </c>
      <c r="BJ742" t="s">
        <v>10070</v>
      </c>
      <c r="BK742" t="s">
        <v>88</v>
      </c>
      <c r="BL742" t="s">
        <v>10071</v>
      </c>
      <c r="BM742" t="s">
        <v>10072</v>
      </c>
      <c r="BN742" t="s">
        <v>74</v>
      </c>
      <c r="BO742" t="s">
        <v>74</v>
      </c>
      <c r="BP742" t="s">
        <v>74</v>
      </c>
      <c r="BQ742" t="s">
        <v>74</v>
      </c>
      <c r="BR742" t="s">
        <v>91</v>
      </c>
      <c r="BS742" t="s">
        <v>10073</v>
      </c>
      <c r="BT742" t="str">
        <f>HYPERLINK("https%3A%2F%2Fwww.webofscience.com%2Fwos%2Fwoscc%2Ffull-record%2FWOS:000167454200593","View Full Record in Web of Science")</f>
        <v>View Full Record in Web of Science</v>
      </c>
    </row>
    <row r="743" spans="1:72" x14ac:dyDescent="0.15">
      <c r="A743" t="s">
        <v>72</v>
      </c>
      <c r="B743" t="s">
        <v>10074</v>
      </c>
      <c r="C743" t="s">
        <v>74</v>
      </c>
      <c r="D743" t="s">
        <v>74</v>
      </c>
      <c r="E743" t="s">
        <v>74</v>
      </c>
      <c r="F743" t="s">
        <v>10074</v>
      </c>
      <c r="G743" t="s">
        <v>74</v>
      </c>
      <c r="H743" t="s">
        <v>74</v>
      </c>
      <c r="I743" t="s">
        <v>10075</v>
      </c>
      <c r="J743" t="s">
        <v>5467</v>
      </c>
      <c r="K743" t="s">
        <v>74</v>
      </c>
      <c r="L743" t="s">
        <v>74</v>
      </c>
      <c r="M743" t="s">
        <v>77</v>
      </c>
      <c r="N743" t="s">
        <v>120</v>
      </c>
      <c r="O743" t="s">
        <v>74</v>
      </c>
      <c r="P743" t="s">
        <v>74</v>
      </c>
      <c r="Q743" t="s">
        <v>74</v>
      </c>
      <c r="R743" t="s">
        <v>74</v>
      </c>
      <c r="S743" t="s">
        <v>74</v>
      </c>
      <c r="T743" t="s">
        <v>74</v>
      </c>
      <c r="U743" t="s">
        <v>10076</v>
      </c>
      <c r="V743" t="s">
        <v>10077</v>
      </c>
      <c r="W743" t="s">
        <v>10078</v>
      </c>
      <c r="X743" t="s">
        <v>10079</v>
      </c>
      <c r="Y743" t="s">
        <v>10080</v>
      </c>
      <c r="Z743" t="s">
        <v>74</v>
      </c>
      <c r="AA743" t="s">
        <v>74</v>
      </c>
      <c r="AB743" t="s">
        <v>74</v>
      </c>
      <c r="AC743" t="s">
        <v>74</v>
      </c>
      <c r="AD743" t="s">
        <v>74</v>
      </c>
      <c r="AE743" t="s">
        <v>74</v>
      </c>
      <c r="AF743" t="s">
        <v>74</v>
      </c>
      <c r="AG743">
        <v>48</v>
      </c>
      <c r="AH743">
        <v>33</v>
      </c>
      <c r="AI743">
        <v>37</v>
      </c>
      <c r="AJ743">
        <v>0</v>
      </c>
      <c r="AK743">
        <v>14</v>
      </c>
      <c r="AL743" t="s">
        <v>508</v>
      </c>
      <c r="AM743" t="s">
        <v>150</v>
      </c>
      <c r="AN743" t="s">
        <v>509</v>
      </c>
      <c r="AO743" t="s">
        <v>5473</v>
      </c>
      <c r="AP743" t="s">
        <v>9878</v>
      </c>
      <c r="AQ743" t="s">
        <v>74</v>
      </c>
      <c r="AR743" t="s">
        <v>5474</v>
      </c>
      <c r="AS743" t="s">
        <v>5475</v>
      </c>
      <c r="AT743" t="s">
        <v>10068</v>
      </c>
      <c r="AU743">
        <v>2001</v>
      </c>
      <c r="AV743">
        <v>105</v>
      </c>
      <c r="AW743">
        <v>9</v>
      </c>
      <c r="AX743" t="s">
        <v>74</v>
      </c>
      <c r="AY743" t="s">
        <v>74</v>
      </c>
      <c r="AZ743" t="s">
        <v>74</v>
      </c>
      <c r="BA743" t="s">
        <v>74</v>
      </c>
      <c r="BB743">
        <v>1456</v>
      </c>
      <c r="BC743">
        <v>1464</v>
      </c>
      <c r="BD743" t="s">
        <v>74</v>
      </c>
      <c r="BE743" t="s">
        <v>10081</v>
      </c>
      <c r="BF743" t="str">
        <f>HYPERLINK("http://dx.doi.org/10.1021/jp0027290","http://dx.doi.org/10.1021/jp0027290")</f>
        <v>http://dx.doi.org/10.1021/jp0027290</v>
      </c>
      <c r="BG743" t="s">
        <v>74</v>
      </c>
      <c r="BH743" t="s">
        <v>74</v>
      </c>
      <c r="BI743">
        <v>9</v>
      </c>
      <c r="BJ743" t="s">
        <v>5478</v>
      </c>
      <c r="BK743" t="s">
        <v>88</v>
      </c>
      <c r="BL743" t="s">
        <v>5479</v>
      </c>
      <c r="BM743" t="s">
        <v>10082</v>
      </c>
      <c r="BN743" t="s">
        <v>74</v>
      </c>
      <c r="BO743" t="s">
        <v>74</v>
      </c>
      <c r="BP743" t="s">
        <v>74</v>
      </c>
      <c r="BQ743" t="s">
        <v>74</v>
      </c>
      <c r="BR743" t="s">
        <v>91</v>
      </c>
      <c r="BS743" t="s">
        <v>10083</v>
      </c>
      <c r="BT743" t="str">
        <f>HYPERLINK("https%3A%2F%2Fwww.webofscience.com%2Fwos%2Fwoscc%2Ffull-record%2FWOS:000167268600009","View Full Record in Web of Science")</f>
        <v>View Full Record in Web of Science</v>
      </c>
    </row>
    <row r="744" spans="1:72" x14ac:dyDescent="0.15">
      <c r="A744" t="s">
        <v>72</v>
      </c>
      <c r="B744" t="s">
        <v>10084</v>
      </c>
      <c r="C744" t="s">
        <v>74</v>
      </c>
      <c r="D744" t="s">
        <v>74</v>
      </c>
      <c r="E744" t="s">
        <v>74</v>
      </c>
      <c r="F744" t="s">
        <v>10084</v>
      </c>
      <c r="G744" t="s">
        <v>74</v>
      </c>
      <c r="H744" t="s">
        <v>74</v>
      </c>
      <c r="I744" t="s">
        <v>10085</v>
      </c>
      <c r="J744" t="s">
        <v>5467</v>
      </c>
      <c r="K744" t="s">
        <v>74</v>
      </c>
      <c r="L744" t="s">
        <v>74</v>
      </c>
      <c r="M744" t="s">
        <v>77</v>
      </c>
      <c r="N744" t="s">
        <v>96</v>
      </c>
      <c r="O744" t="s">
        <v>74</v>
      </c>
      <c r="P744" t="s">
        <v>74</v>
      </c>
      <c r="Q744" t="s">
        <v>74</v>
      </c>
      <c r="R744" t="s">
        <v>74</v>
      </c>
      <c r="S744" t="s">
        <v>74</v>
      </c>
      <c r="T744" t="s">
        <v>74</v>
      </c>
      <c r="U744" t="s">
        <v>10086</v>
      </c>
      <c r="V744" t="s">
        <v>10087</v>
      </c>
      <c r="W744" t="s">
        <v>10088</v>
      </c>
      <c r="X744" t="s">
        <v>10089</v>
      </c>
      <c r="Y744" t="s">
        <v>6588</v>
      </c>
      <c r="Z744" t="s">
        <v>74</v>
      </c>
      <c r="AA744" t="s">
        <v>10090</v>
      </c>
      <c r="AB744" t="s">
        <v>10091</v>
      </c>
      <c r="AC744" t="s">
        <v>74</v>
      </c>
      <c r="AD744" t="s">
        <v>74</v>
      </c>
      <c r="AE744" t="s">
        <v>74</v>
      </c>
      <c r="AF744" t="s">
        <v>74</v>
      </c>
      <c r="AG744">
        <v>120</v>
      </c>
      <c r="AH744">
        <v>38</v>
      </c>
      <c r="AI744">
        <v>40</v>
      </c>
      <c r="AJ744">
        <v>0</v>
      </c>
      <c r="AK744">
        <v>18</v>
      </c>
      <c r="AL744" t="s">
        <v>508</v>
      </c>
      <c r="AM744" t="s">
        <v>150</v>
      </c>
      <c r="AN744" t="s">
        <v>509</v>
      </c>
      <c r="AO744" t="s">
        <v>5473</v>
      </c>
      <c r="AP744" t="s">
        <v>74</v>
      </c>
      <c r="AQ744" t="s">
        <v>74</v>
      </c>
      <c r="AR744" t="s">
        <v>5474</v>
      </c>
      <c r="AS744" t="s">
        <v>5475</v>
      </c>
      <c r="AT744" t="s">
        <v>10068</v>
      </c>
      <c r="AU744">
        <v>2001</v>
      </c>
      <c r="AV744">
        <v>105</v>
      </c>
      <c r="AW744">
        <v>9</v>
      </c>
      <c r="AX744" t="s">
        <v>74</v>
      </c>
      <c r="AY744" t="s">
        <v>74</v>
      </c>
      <c r="AZ744" t="s">
        <v>74</v>
      </c>
      <c r="BA744" t="s">
        <v>74</v>
      </c>
      <c r="BB744">
        <v>1476</v>
      </c>
      <c r="BC744">
        <v>1488</v>
      </c>
      <c r="BD744" t="s">
        <v>74</v>
      </c>
      <c r="BE744" t="s">
        <v>10092</v>
      </c>
      <c r="BF744" t="str">
        <f>HYPERLINK("http://dx.doi.org/10.1021/jp0016784","http://dx.doi.org/10.1021/jp0016784")</f>
        <v>http://dx.doi.org/10.1021/jp0016784</v>
      </c>
      <c r="BG744" t="s">
        <v>74</v>
      </c>
      <c r="BH744" t="s">
        <v>74</v>
      </c>
      <c r="BI744">
        <v>13</v>
      </c>
      <c r="BJ744" t="s">
        <v>5478</v>
      </c>
      <c r="BK744" t="s">
        <v>88</v>
      </c>
      <c r="BL744" t="s">
        <v>5479</v>
      </c>
      <c r="BM744" t="s">
        <v>10082</v>
      </c>
      <c r="BN744" t="s">
        <v>74</v>
      </c>
      <c r="BO744" t="s">
        <v>74</v>
      </c>
      <c r="BP744" t="s">
        <v>74</v>
      </c>
      <c r="BQ744" t="s">
        <v>74</v>
      </c>
      <c r="BR744" t="s">
        <v>91</v>
      </c>
      <c r="BS744" t="s">
        <v>10093</v>
      </c>
      <c r="BT744" t="str">
        <f>HYPERLINK("https%3A%2F%2Fwww.webofscience.com%2Fwos%2Fwoscc%2Ffull-record%2FWOS:000167268600011","View Full Record in Web of Science")</f>
        <v>View Full Record in Web of Science</v>
      </c>
    </row>
    <row r="745" spans="1:72" x14ac:dyDescent="0.15">
      <c r="A745" t="s">
        <v>72</v>
      </c>
      <c r="B745" t="s">
        <v>10094</v>
      </c>
      <c r="C745" t="s">
        <v>74</v>
      </c>
      <c r="D745" t="s">
        <v>74</v>
      </c>
      <c r="E745" t="s">
        <v>74</v>
      </c>
      <c r="F745" t="s">
        <v>10094</v>
      </c>
      <c r="G745" t="s">
        <v>74</v>
      </c>
      <c r="H745" t="s">
        <v>74</v>
      </c>
      <c r="I745" t="s">
        <v>10095</v>
      </c>
      <c r="J745" t="s">
        <v>10060</v>
      </c>
      <c r="K745" t="s">
        <v>74</v>
      </c>
      <c r="L745" t="s">
        <v>74</v>
      </c>
      <c r="M745" t="s">
        <v>77</v>
      </c>
      <c r="N745" t="s">
        <v>52</v>
      </c>
      <c r="O745" t="s">
        <v>74</v>
      </c>
      <c r="P745" t="s">
        <v>74</v>
      </c>
      <c r="Q745" t="s">
        <v>74</v>
      </c>
      <c r="R745" t="s">
        <v>74</v>
      </c>
      <c r="S745" t="s">
        <v>74</v>
      </c>
      <c r="T745" t="s">
        <v>74</v>
      </c>
      <c r="U745" t="s">
        <v>74</v>
      </c>
      <c r="V745" t="s">
        <v>74</v>
      </c>
      <c r="W745" t="s">
        <v>10096</v>
      </c>
      <c r="X745" t="s">
        <v>10097</v>
      </c>
      <c r="Y745" t="s">
        <v>74</v>
      </c>
      <c r="Z745" t="s">
        <v>74</v>
      </c>
      <c r="AA745" t="s">
        <v>74</v>
      </c>
      <c r="AB745" t="s">
        <v>74</v>
      </c>
      <c r="AC745" t="s">
        <v>74</v>
      </c>
      <c r="AD745" t="s">
        <v>74</v>
      </c>
      <c r="AE745" t="s">
        <v>74</v>
      </c>
      <c r="AF745" t="s">
        <v>74</v>
      </c>
      <c r="AG745">
        <v>0</v>
      </c>
      <c r="AH745">
        <v>1</v>
      </c>
      <c r="AI745">
        <v>1</v>
      </c>
      <c r="AJ745">
        <v>0</v>
      </c>
      <c r="AK745">
        <v>0</v>
      </c>
      <c r="AL745" t="s">
        <v>10063</v>
      </c>
      <c r="AM745" t="s">
        <v>5637</v>
      </c>
      <c r="AN745" t="s">
        <v>10064</v>
      </c>
      <c r="AO745" t="s">
        <v>10065</v>
      </c>
      <c r="AP745" t="s">
        <v>74</v>
      </c>
      <c r="AQ745" t="s">
        <v>74</v>
      </c>
      <c r="AR745" t="s">
        <v>10066</v>
      </c>
      <c r="AS745" t="s">
        <v>10067</v>
      </c>
      <c r="AT745" t="s">
        <v>10098</v>
      </c>
      <c r="AU745">
        <v>2001</v>
      </c>
      <c r="AV745">
        <v>15</v>
      </c>
      <c r="AW745">
        <v>4</v>
      </c>
      <c r="AX745">
        <v>1</v>
      </c>
      <c r="AY745" t="s">
        <v>74</v>
      </c>
      <c r="AZ745" t="s">
        <v>74</v>
      </c>
      <c r="BA745" t="s">
        <v>74</v>
      </c>
      <c r="BB745" t="s">
        <v>10099</v>
      </c>
      <c r="BC745" t="s">
        <v>10099</v>
      </c>
      <c r="BD745" t="s">
        <v>74</v>
      </c>
      <c r="BE745" t="s">
        <v>74</v>
      </c>
      <c r="BF745" t="s">
        <v>74</v>
      </c>
      <c r="BG745" t="s">
        <v>74</v>
      </c>
      <c r="BH745" t="s">
        <v>74</v>
      </c>
      <c r="BI745">
        <v>1</v>
      </c>
      <c r="BJ745" t="s">
        <v>10070</v>
      </c>
      <c r="BK745" t="s">
        <v>88</v>
      </c>
      <c r="BL745" t="s">
        <v>10071</v>
      </c>
      <c r="BM745" t="s">
        <v>10100</v>
      </c>
      <c r="BN745" t="s">
        <v>74</v>
      </c>
      <c r="BO745" t="s">
        <v>74</v>
      </c>
      <c r="BP745" t="s">
        <v>74</v>
      </c>
      <c r="BQ745" t="s">
        <v>74</v>
      </c>
      <c r="BR745" t="s">
        <v>91</v>
      </c>
      <c r="BS745" t="s">
        <v>10101</v>
      </c>
      <c r="BT745" t="str">
        <f>HYPERLINK("https%3A%2F%2Fwww.webofscience.com%2Fwos%2Fwoscc%2Ffull-record%2FWOS:000167438100511","View Full Record in Web of Science")</f>
        <v>View Full Record in Web of Science</v>
      </c>
    </row>
    <row r="746" spans="1:72" x14ac:dyDescent="0.15">
      <c r="A746" t="s">
        <v>72</v>
      </c>
      <c r="B746" t="s">
        <v>10102</v>
      </c>
      <c r="C746" t="s">
        <v>74</v>
      </c>
      <c r="D746" t="s">
        <v>74</v>
      </c>
      <c r="E746" t="s">
        <v>74</v>
      </c>
      <c r="F746" t="s">
        <v>10102</v>
      </c>
      <c r="G746" t="s">
        <v>74</v>
      </c>
      <c r="H746" t="s">
        <v>74</v>
      </c>
      <c r="I746" t="s">
        <v>10103</v>
      </c>
      <c r="J746" t="s">
        <v>2045</v>
      </c>
      <c r="K746" t="s">
        <v>74</v>
      </c>
      <c r="L746" t="s">
        <v>74</v>
      </c>
      <c r="M746" t="s">
        <v>77</v>
      </c>
      <c r="N746" t="s">
        <v>96</v>
      </c>
      <c r="O746" t="s">
        <v>74</v>
      </c>
      <c r="P746" t="s">
        <v>74</v>
      </c>
      <c r="Q746" t="s">
        <v>74</v>
      </c>
      <c r="R746" t="s">
        <v>74</v>
      </c>
      <c r="S746" t="s">
        <v>74</v>
      </c>
      <c r="T746" t="s">
        <v>10104</v>
      </c>
      <c r="U746" t="s">
        <v>10105</v>
      </c>
      <c r="V746" t="s">
        <v>10106</v>
      </c>
      <c r="W746" t="s">
        <v>10107</v>
      </c>
      <c r="X746" t="s">
        <v>10108</v>
      </c>
      <c r="Y746" t="s">
        <v>10109</v>
      </c>
      <c r="Z746" t="s">
        <v>10110</v>
      </c>
      <c r="AA746" t="s">
        <v>74</v>
      </c>
      <c r="AB746" t="s">
        <v>10111</v>
      </c>
      <c r="AC746" t="s">
        <v>74</v>
      </c>
      <c r="AD746" t="s">
        <v>74</v>
      </c>
      <c r="AE746" t="s">
        <v>74</v>
      </c>
      <c r="AF746" t="s">
        <v>74</v>
      </c>
      <c r="AG746">
        <v>117</v>
      </c>
      <c r="AH746">
        <v>261</v>
      </c>
      <c r="AI746">
        <v>289</v>
      </c>
      <c r="AJ746">
        <v>4</v>
      </c>
      <c r="AK746">
        <v>88</v>
      </c>
      <c r="AL746" t="s">
        <v>2054</v>
      </c>
      <c r="AM746" t="s">
        <v>683</v>
      </c>
      <c r="AN746" t="s">
        <v>2055</v>
      </c>
      <c r="AO746" t="s">
        <v>2056</v>
      </c>
      <c r="AP746" t="s">
        <v>2057</v>
      </c>
      <c r="AQ746" t="s">
        <v>74</v>
      </c>
      <c r="AR746" t="s">
        <v>2058</v>
      </c>
      <c r="AS746" t="s">
        <v>2059</v>
      </c>
      <c r="AT746" t="s">
        <v>10098</v>
      </c>
      <c r="AU746">
        <v>2001</v>
      </c>
      <c r="AV746">
        <v>268</v>
      </c>
      <c r="AW746">
        <v>1466</v>
      </c>
      <c r="AX746" t="s">
        <v>74</v>
      </c>
      <c r="AY746" t="s">
        <v>74</v>
      </c>
      <c r="AZ746" t="s">
        <v>74</v>
      </c>
      <c r="BA746" t="s">
        <v>74</v>
      </c>
      <c r="BB746">
        <v>459</v>
      </c>
      <c r="BC746">
        <v>469</v>
      </c>
      <c r="BD746" t="s">
        <v>74</v>
      </c>
      <c r="BE746" t="s">
        <v>10112</v>
      </c>
      <c r="BF746" t="str">
        <f>HYPERLINK("http://dx.doi.org/10.1098/rspb.2000.1368","http://dx.doi.org/10.1098/rspb.2000.1368")</f>
        <v>http://dx.doi.org/10.1098/rspb.2000.1368</v>
      </c>
      <c r="BG746" t="s">
        <v>74</v>
      </c>
      <c r="BH746" t="s">
        <v>74</v>
      </c>
      <c r="BI746">
        <v>11</v>
      </c>
      <c r="BJ746" t="s">
        <v>2062</v>
      </c>
      <c r="BK746" t="s">
        <v>88</v>
      </c>
      <c r="BL746" t="s">
        <v>2063</v>
      </c>
      <c r="BM746" t="s">
        <v>10113</v>
      </c>
      <c r="BN746">
        <v>11296857</v>
      </c>
      <c r="BO746" t="s">
        <v>761</v>
      </c>
      <c r="BP746" t="s">
        <v>74</v>
      </c>
      <c r="BQ746" t="s">
        <v>74</v>
      </c>
      <c r="BR746" t="s">
        <v>91</v>
      </c>
      <c r="BS746" t="s">
        <v>10114</v>
      </c>
      <c r="BT746" t="str">
        <f>HYPERLINK("https%3A%2F%2Fwww.webofscience.com%2Fwos%2Fwoscc%2Ffull-record%2FWOS:000167432800003","View Full Record in Web of Science")</f>
        <v>View Full Record in Web of Science</v>
      </c>
    </row>
    <row r="747" spans="1:72" x14ac:dyDescent="0.15">
      <c r="A747" t="s">
        <v>72</v>
      </c>
      <c r="B747" t="s">
        <v>10115</v>
      </c>
      <c r="C747" t="s">
        <v>74</v>
      </c>
      <c r="D747" t="s">
        <v>74</v>
      </c>
      <c r="E747" t="s">
        <v>74</v>
      </c>
      <c r="F747" t="s">
        <v>10115</v>
      </c>
      <c r="G747" t="s">
        <v>74</v>
      </c>
      <c r="H747" t="s">
        <v>74</v>
      </c>
      <c r="I747" t="s">
        <v>10116</v>
      </c>
      <c r="J747" t="s">
        <v>10117</v>
      </c>
      <c r="K747" t="s">
        <v>74</v>
      </c>
      <c r="L747" t="s">
        <v>74</v>
      </c>
      <c r="M747" t="s">
        <v>77</v>
      </c>
      <c r="N747" t="s">
        <v>120</v>
      </c>
      <c r="O747" t="s">
        <v>74</v>
      </c>
      <c r="P747" t="s">
        <v>74</v>
      </c>
      <c r="Q747" t="s">
        <v>74</v>
      </c>
      <c r="R747" t="s">
        <v>74</v>
      </c>
      <c r="S747" t="s">
        <v>74</v>
      </c>
      <c r="T747" t="s">
        <v>74</v>
      </c>
      <c r="U747" t="s">
        <v>10118</v>
      </c>
      <c r="V747" t="s">
        <v>10119</v>
      </c>
      <c r="W747" t="s">
        <v>10120</v>
      </c>
      <c r="X747" t="s">
        <v>10121</v>
      </c>
      <c r="Y747" t="s">
        <v>74</v>
      </c>
      <c r="Z747" t="s">
        <v>10122</v>
      </c>
      <c r="AA747" t="s">
        <v>74</v>
      </c>
      <c r="AB747" t="s">
        <v>10123</v>
      </c>
      <c r="AC747" t="s">
        <v>74</v>
      </c>
      <c r="AD747" t="s">
        <v>74</v>
      </c>
      <c r="AE747" t="s">
        <v>74</v>
      </c>
      <c r="AF747" t="s">
        <v>74</v>
      </c>
      <c r="AG747">
        <v>55</v>
      </c>
      <c r="AH747">
        <v>66</v>
      </c>
      <c r="AI747">
        <v>69</v>
      </c>
      <c r="AJ747">
        <v>1</v>
      </c>
      <c r="AK747">
        <v>14</v>
      </c>
      <c r="AL747" t="s">
        <v>248</v>
      </c>
      <c r="AM747" t="s">
        <v>2224</v>
      </c>
      <c r="AN747" t="s">
        <v>5560</v>
      </c>
      <c r="AO747" t="s">
        <v>10124</v>
      </c>
      <c r="AP747" t="s">
        <v>10125</v>
      </c>
      <c r="AQ747" t="s">
        <v>74</v>
      </c>
      <c r="AR747" t="s">
        <v>10117</v>
      </c>
      <c r="AS747" t="s">
        <v>10126</v>
      </c>
      <c r="AT747" t="s">
        <v>10127</v>
      </c>
      <c r="AU747">
        <v>2001</v>
      </c>
      <c r="AV747">
        <v>30</v>
      </c>
      <c r="AW747">
        <v>2</v>
      </c>
      <c r="AX747" t="s">
        <v>74</v>
      </c>
      <c r="AY747" t="s">
        <v>74</v>
      </c>
      <c r="AZ747" t="s">
        <v>74</v>
      </c>
      <c r="BA747" t="s">
        <v>74</v>
      </c>
      <c r="BB747">
        <v>112</v>
      </c>
      <c r="BC747">
        <v>117</v>
      </c>
      <c r="BD747" t="s">
        <v>74</v>
      </c>
      <c r="BE747" t="s">
        <v>10128</v>
      </c>
      <c r="BF747" t="str">
        <f>HYPERLINK("http://dx.doi.org/10.1639/0044-7447(2001)030[0112:SURAII]2.0.CO;2","http://dx.doi.org/10.1639/0044-7447(2001)030[0112:SURAII]2.0.CO;2")</f>
        <v>http://dx.doi.org/10.1639/0044-7447(2001)030[0112:SURAII]2.0.CO;2</v>
      </c>
      <c r="BG747" t="s">
        <v>74</v>
      </c>
      <c r="BH747" t="s">
        <v>74</v>
      </c>
      <c r="BI747">
        <v>6</v>
      </c>
      <c r="BJ747" t="s">
        <v>135</v>
      </c>
      <c r="BK747" t="s">
        <v>88</v>
      </c>
      <c r="BL747" t="s">
        <v>136</v>
      </c>
      <c r="BM747" t="s">
        <v>10129</v>
      </c>
      <c r="BN747">
        <v>11374308</v>
      </c>
      <c r="BO747" t="s">
        <v>74</v>
      </c>
      <c r="BP747" t="s">
        <v>74</v>
      </c>
      <c r="BQ747" t="s">
        <v>74</v>
      </c>
      <c r="BR747" t="s">
        <v>91</v>
      </c>
      <c r="BS747" t="s">
        <v>10130</v>
      </c>
      <c r="BT747" t="str">
        <f>HYPERLINK("https%3A%2F%2Fwww.webofscience.com%2Fwos%2Fwoscc%2Ffull-record%2FWOS:000168450700007","View Full Record in Web of Science")</f>
        <v>View Full Record in Web of Science</v>
      </c>
    </row>
    <row r="748" spans="1:72" x14ac:dyDescent="0.15">
      <c r="A748" t="s">
        <v>72</v>
      </c>
      <c r="B748" t="s">
        <v>10131</v>
      </c>
      <c r="C748" t="s">
        <v>74</v>
      </c>
      <c r="D748" t="s">
        <v>74</v>
      </c>
      <c r="E748" t="s">
        <v>74</v>
      </c>
      <c r="F748" t="s">
        <v>10131</v>
      </c>
      <c r="G748" t="s">
        <v>74</v>
      </c>
      <c r="H748" t="s">
        <v>74</v>
      </c>
      <c r="I748" t="s">
        <v>10132</v>
      </c>
      <c r="J748" t="s">
        <v>10133</v>
      </c>
      <c r="K748" t="s">
        <v>74</v>
      </c>
      <c r="L748" t="s">
        <v>74</v>
      </c>
      <c r="M748" t="s">
        <v>77</v>
      </c>
      <c r="N748" t="s">
        <v>696</v>
      </c>
      <c r="O748" t="s">
        <v>74</v>
      </c>
      <c r="P748" t="s">
        <v>74</v>
      </c>
      <c r="Q748" t="s">
        <v>74</v>
      </c>
      <c r="R748" t="s">
        <v>74</v>
      </c>
      <c r="S748" t="s">
        <v>74</v>
      </c>
      <c r="T748" t="s">
        <v>74</v>
      </c>
      <c r="U748" t="s">
        <v>74</v>
      </c>
      <c r="V748" t="s">
        <v>74</v>
      </c>
      <c r="W748" t="s">
        <v>74</v>
      </c>
      <c r="X748" t="s">
        <v>74</v>
      </c>
      <c r="Y748" t="s">
        <v>74</v>
      </c>
      <c r="Z748" t="s">
        <v>74</v>
      </c>
      <c r="AA748" t="s">
        <v>74</v>
      </c>
      <c r="AB748" t="s">
        <v>74</v>
      </c>
      <c r="AC748" t="s">
        <v>74</v>
      </c>
      <c r="AD748" t="s">
        <v>74</v>
      </c>
      <c r="AE748" t="s">
        <v>74</v>
      </c>
      <c r="AF748" t="s">
        <v>74</v>
      </c>
      <c r="AG748">
        <v>1</v>
      </c>
      <c r="AH748">
        <v>0</v>
      </c>
      <c r="AI748">
        <v>0</v>
      </c>
      <c r="AJ748">
        <v>0</v>
      </c>
      <c r="AK748">
        <v>1</v>
      </c>
      <c r="AL748" t="s">
        <v>10134</v>
      </c>
      <c r="AM748" t="s">
        <v>10135</v>
      </c>
      <c r="AN748" t="s">
        <v>10136</v>
      </c>
      <c r="AO748" t="s">
        <v>10137</v>
      </c>
      <c r="AP748" t="s">
        <v>74</v>
      </c>
      <c r="AQ748" t="s">
        <v>74</v>
      </c>
      <c r="AR748" t="s">
        <v>10138</v>
      </c>
      <c r="AS748" t="s">
        <v>10139</v>
      </c>
      <c r="AT748" t="s">
        <v>10140</v>
      </c>
      <c r="AU748">
        <v>2001</v>
      </c>
      <c r="AV748">
        <v>61</v>
      </c>
      <c r="AW748">
        <v>2</v>
      </c>
      <c r="AX748" t="s">
        <v>74</v>
      </c>
      <c r="AY748" t="s">
        <v>74</v>
      </c>
      <c r="AZ748" t="s">
        <v>74</v>
      </c>
      <c r="BA748" t="s">
        <v>74</v>
      </c>
      <c r="BB748">
        <v>245</v>
      </c>
      <c r="BC748">
        <v>246</v>
      </c>
      <c r="BD748" t="s">
        <v>74</v>
      </c>
      <c r="BE748" t="s">
        <v>74</v>
      </c>
      <c r="BF748" t="s">
        <v>74</v>
      </c>
      <c r="BG748" t="s">
        <v>74</v>
      </c>
      <c r="BH748" t="s">
        <v>74</v>
      </c>
      <c r="BI748">
        <v>2</v>
      </c>
      <c r="BJ748" t="s">
        <v>10141</v>
      </c>
      <c r="BK748" t="s">
        <v>3202</v>
      </c>
      <c r="BL748" t="s">
        <v>10141</v>
      </c>
      <c r="BM748" t="s">
        <v>10142</v>
      </c>
      <c r="BN748" t="s">
        <v>74</v>
      </c>
      <c r="BO748" t="s">
        <v>74</v>
      </c>
      <c r="BP748" t="s">
        <v>74</v>
      </c>
      <c r="BQ748" t="s">
        <v>74</v>
      </c>
      <c r="BR748" t="s">
        <v>91</v>
      </c>
      <c r="BS748" t="s">
        <v>10143</v>
      </c>
      <c r="BT748" t="str">
        <f>HYPERLINK("https%3A%2F%2Fwww.webofscience.com%2Fwos%2Fwoscc%2Ffull-record%2FWOS:000178491500016","View Full Record in Web of Science")</f>
        <v>View Full Record in Web of Science</v>
      </c>
    </row>
    <row r="749" spans="1:72" x14ac:dyDescent="0.15">
      <c r="A749" t="s">
        <v>72</v>
      </c>
      <c r="B749" t="s">
        <v>10144</v>
      </c>
      <c r="C749" t="s">
        <v>74</v>
      </c>
      <c r="D749" t="s">
        <v>74</v>
      </c>
      <c r="E749" t="s">
        <v>74</v>
      </c>
      <c r="F749" t="s">
        <v>10144</v>
      </c>
      <c r="G749" t="s">
        <v>74</v>
      </c>
      <c r="H749" t="s">
        <v>74</v>
      </c>
      <c r="I749" t="s">
        <v>10145</v>
      </c>
      <c r="J749" t="s">
        <v>5718</v>
      </c>
      <c r="K749" t="s">
        <v>74</v>
      </c>
      <c r="L749" t="s">
        <v>74</v>
      </c>
      <c r="M749" t="s">
        <v>77</v>
      </c>
      <c r="N749" t="s">
        <v>120</v>
      </c>
      <c r="O749" t="s">
        <v>74</v>
      </c>
      <c r="P749" t="s">
        <v>74</v>
      </c>
      <c r="Q749" t="s">
        <v>74</v>
      </c>
      <c r="R749" t="s">
        <v>74</v>
      </c>
      <c r="S749" t="s">
        <v>74</v>
      </c>
      <c r="T749" t="s">
        <v>10146</v>
      </c>
      <c r="U749" t="s">
        <v>10147</v>
      </c>
      <c r="V749" t="s">
        <v>10148</v>
      </c>
      <c r="W749" t="s">
        <v>5152</v>
      </c>
      <c r="X749" t="s">
        <v>5153</v>
      </c>
      <c r="Y749" t="s">
        <v>10149</v>
      </c>
      <c r="Z749" t="s">
        <v>74</v>
      </c>
      <c r="AA749" t="s">
        <v>74</v>
      </c>
      <c r="AB749" t="s">
        <v>10150</v>
      </c>
      <c r="AC749" t="s">
        <v>74</v>
      </c>
      <c r="AD749" t="s">
        <v>74</v>
      </c>
      <c r="AE749" t="s">
        <v>74</v>
      </c>
      <c r="AF749" t="s">
        <v>74</v>
      </c>
      <c r="AG749">
        <v>31</v>
      </c>
      <c r="AH749">
        <v>8</v>
      </c>
      <c r="AI749">
        <v>8</v>
      </c>
      <c r="AJ749">
        <v>0</v>
      </c>
      <c r="AK749">
        <v>2</v>
      </c>
      <c r="AL749" t="s">
        <v>5725</v>
      </c>
      <c r="AM749" t="s">
        <v>5726</v>
      </c>
      <c r="AN749" t="s">
        <v>5727</v>
      </c>
      <c r="AO749" t="s">
        <v>5728</v>
      </c>
      <c r="AP749" t="s">
        <v>74</v>
      </c>
      <c r="AQ749" t="s">
        <v>74</v>
      </c>
      <c r="AR749" t="s">
        <v>5729</v>
      </c>
      <c r="AS749" t="s">
        <v>5730</v>
      </c>
      <c r="AT749" t="s">
        <v>10127</v>
      </c>
      <c r="AU749">
        <v>2001</v>
      </c>
      <c r="AV749">
        <v>19</v>
      </c>
      <c r="AW749">
        <v>3</v>
      </c>
      <c r="AX749" t="s">
        <v>74</v>
      </c>
      <c r="AY749" t="s">
        <v>74</v>
      </c>
      <c r="AZ749" t="s">
        <v>74</v>
      </c>
      <c r="BA749" t="s">
        <v>74</v>
      </c>
      <c r="BB749">
        <v>359</v>
      </c>
      <c r="BC749">
        <v>365</v>
      </c>
      <c r="BD749" t="s">
        <v>74</v>
      </c>
      <c r="BE749" t="s">
        <v>10151</v>
      </c>
      <c r="BF749" t="str">
        <f>HYPERLINK("http://dx.doi.org/10.5194/angeo-19-359-2001","http://dx.doi.org/10.5194/angeo-19-359-2001")</f>
        <v>http://dx.doi.org/10.5194/angeo-19-359-2001</v>
      </c>
      <c r="BG749" t="s">
        <v>74</v>
      </c>
      <c r="BH749" t="s">
        <v>74</v>
      </c>
      <c r="BI749">
        <v>7</v>
      </c>
      <c r="BJ749" t="s">
        <v>5732</v>
      </c>
      <c r="BK749" t="s">
        <v>88</v>
      </c>
      <c r="BL749" t="s">
        <v>5733</v>
      </c>
      <c r="BM749" t="s">
        <v>10152</v>
      </c>
      <c r="BN749" t="s">
        <v>74</v>
      </c>
      <c r="BO749" t="s">
        <v>325</v>
      </c>
      <c r="BP749" t="s">
        <v>74</v>
      </c>
      <c r="BQ749" t="s">
        <v>74</v>
      </c>
      <c r="BR749" t="s">
        <v>91</v>
      </c>
      <c r="BS749" t="s">
        <v>10153</v>
      </c>
      <c r="BT749" t="str">
        <f>HYPERLINK("https%3A%2F%2Fwww.webofscience.com%2Fwos%2Fwoscc%2Ffull-record%2FWOS:000169900700010","View Full Record in Web of Science")</f>
        <v>View Full Record in Web of Science</v>
      </c>
    </row>
    <row r="750" spans="1:72" x14ac:dyDescent="0.15">
      <c r="A750" t="s">
        <v>72</v>
      </c>
      <c r="B750" t="s">
        <v>10154</v>
      </c>
      <c r="C750" t="s">
        <v>74</v>
      </c>
      <c r="D750" t="s">
        <v>74</v>
      </c>
      <c r="E750" t="s">
        <v>74</v>
      </c>
      <c r="F750" t="s">
        <v>10154</v>
      </c>
      <c r="G750" t="s">
        <v>74</v>
      </c>
      <c r="H750" t="s">
        <v>74</v>
      </c>
      <c r="I750" t="s">
        <v>10155</v>
      </c>
      <c r="J750" t="s">
        <v>3241</v>
      </c>
      <c r="K750" t="s">
        <v>74</v>
      </c>
      <c r="L750" t="s">
        <v>74</v>
      </c>
      <c r="M750" t="s">
        <v>77</v>
      </c>
      <c r="N750" t="s">
        <v>414</v>
      </c>
      <c r="O750" t="s">
        <v>74</v>
      </c>
      <c r="P750" t="s">
        <v>74</v>
      </c>
      <c r="Q750" t="s">
        <v>74</v>
      </c>
      <c r="R750" t="s">
        <v>74</v>
      </c>
      <c r="S750" t="s">
        <v>74</v>
      </c>
      <c r="T750" t="s">
        <v>74</v>
      </c>
      <c r="U750" t="s">
        <v>74</v>
      </c>
      <c r="V750" t="s">
        <v>74</v>
      </c>
      <c r="W750" t="s">
        <v>74</v>
      </c>
      <c r="X750" t="s">
        <v>74</v>
      </c>
      <c r="Y750" t="s">
        <v>74</v>
      </c>
      <c r="Z750" t="s">
        <v>74</v>
      </c>
      <c r="AA750" t="s">
        <v>74</v>
      </c>
      <c r="AB750" t="s">
        <v>74</v>
      </c>
      <c r="AC750" t="s">
        <v>74</v>
      </c>
      <c r="AD750" t="s">
        <v>74</v>
      </c>
      <c r="AE750" t="s">
        <v>74</v>
      </c>
      <c r="AF750" t="s">
        <v>74</v>
      </c>
      <c r="AG750">
        <v>0</v>
      </c>
      <c r="AH750">
        <v>0</v>
      </c>
      <c r="AI750">
        <v>0</v>
      </c>
      <c r="AJ750">
        <v>0</v>
      </c>
      <c r="AK750">
        <v>1</v>
      </c>
      <c r="AL750" t="s">
        <v>1293</v>
      </c>
      <c r="AM750" t="s">
        <v>3243</v>
      </c>
      <c r="AN750" t="s">
        <v>10156</v>
      </c>
      <c r="AO750" t="s">
        <v>3245</v>
      </c>
      <c r="AP750" t="s">
        <v>74</v>
      </c>
      <c r="AQ750" t="s">
        <v>74</v>
      </c>
      <c r="AR750" t="s">
        <v>3246</v>
      </c>
      <c r="AS750" t="s">
        <v>3247</v>
      </c>
      <c r="AT750" t="s">
        <v>10127</v>
      </c>
      <c r="AU750">
        <v>2001</v>
      </c>
      <c r="AV750">
        <v>13</v>
      </c>
      <c r="AW750">
        <v>1</v>
      </c>
      <c r="AX750" t="s">
        <v>74</v>
      </c>
      <c r="AY750" t="s">
        <v>74</v>
      </c>
      <c r="AZ750" t="s">
        <v>74</v>
      </c>
      <c r="BA750" t="s">
        <v>74</v>
      </c>
      <c r="BB750">
        <v>1</v>
      </c>
      <c r="BC750">
        <v>1</v>
      </c>
      <c r="BD750" t="s">
        <v>74</v>
      </c>
      <c r="BE750" t="s">
        <v>74</v>
      </c>
      <c r="BF750" t="s">
        <v>74</v>
      </c>
      <c r="BG750" t="s">
        <v>74</v>
      </c>
      <c r="BH750" t="s">
        <v>74</v>
      </c>
      <c r="BI750">
        <v>1</v>
      </c>
      <c r="BJ750" t="s">
        <v>3249</v>
      </c>
      <c r="BK750" t="s">
        <v>88</v>
      </c>
      <c r="BL750" t="s">
        <v>3250</v>
      </c>
      <c r="BM750" t="s">
        <v>10157</v>
      </c>
      <c r="BN750" t="s">
        <v>74</v>
      </c>
      <c r="BO750" t="s">
        <v>74</v>
      </c>
      <c r="BP750" t="s">
        <v>74</v>
      </c>
      <c r="BQ750" t="s">
        <v>74</v>
      </c>
      <c r="BR750" t="s">
        <v>91</v>
      </c>
      <c r="BS750" t="s">
        <v>10158</v>
      </c>
      <c r="BT750" t="str">
        <f>HYPERLINK("https%3A%2F%2Fwww.webofscience.com%2Fwos%2Fwoscc%2Ffull-record%2FWOS:000168077200001","View Full Record in Web of Science")</f>
        <v>View Full Record in Web of Science</v>
      </c>
    </row>
    <row r="751" spans="1:72" x14ac:dyDescent="0.15">
      <c r="A751" t="s">
        <v>72</v>
      </c>
      <c r="B751" t="s">
        <v>10159</v>
      </c>
      <c r="C751" t="s">
        <v>74</v>
      </c>
      <c r="D751" t="s">
        <v>74</v>
      </c>
      <c r="E751" t="s">
        <v>74</v>
      </c>
      <c r="F751" t="s">
        <v>10159</v>
      </c>
      <c r="G751" t="s">
        <v>74</v>
      </c>
      <c r="H751" t="s">
        <v>74</v>
      </c>
      <c r="I751" t="s">
        <v>10160</v>
      </c>
      <c r="J751" t="s">
        <v>3241</v>
      </c>
      <c r="K751" t="s">
        <v>74</v>
      </c>
      <c r="L751" t="s">
        <v>74</v>
      </c>
      <c r="M751" t="s">
        <v>77</v>
      </c>
      <c r="N751" t="s">
        <v>120</v>
      </c>
      <c r="O751" t="s">
        <v>74</v>
      </c>
      <c r="P751" t="s">
        <v>74</v>
      </c>
      <c r="Q751" t="s">
        <v>74</v>
      </c>
      <c r="R751" t="s">
        <v>74</v>
      </c>
      <c r="S751" t="s">
        <v>74</v>
      </c>
      <c r="T751" t="s">
        <v>10161</v>
      </c>
      <c r="U751" t="s">
        <v>10162</v>
      </c>
      <c r="V751" t="s">
        <v>10163</v>
      </c>
      <c r="W751" t="s">
        <v>10164</v>
      </c>
      <c r="X751" t="s">
        <v>10165</v>
      </c>
      <c r="Y751" t="s">
        <v>10166</v>
      </c>
      <c r="Z751" t="s">
        <v>74</v>
      </c>
      <c r="AA751" t="s">
        <v>74</v>
      </c>
      <c r="AB751" t="s">
        <v>74</v>
      </c>
      <c r="AC751" t="s">
        <v>74</v>
      </c>
      <c r="AD751" t="s">
        <v>74</v>
      </c>
      <c r="AE751" t="s">
        <v>74</v>
      </c>
      <c r="AF751" t="s">
        <v>74</v>
      </c>
      <c r="AG751">
        <v>22</v>
      </c>
      <c r="AH751">
        <v>12</v>
      </c>
      <c r="AI751">
        <v>13</v>
      </c>
      <c r="AJ751">
        <v>1</v>
      </c>
      <c r="AK751">
        <v>5</v>
      </c>
      <c r="AL751" t="s">
        <v>1293</v>
      </c>
      <c r="AM751" t="s">
        <v>204</v>
      </c>
      <c r="AN751" t="s">
        <v>1699</v>
      </c>
      <c r="AO751" t="s">
        <v>3245</v>
      </c>
      <c r="AP751" t="s">
        <v>3315</v>
      </c>
      <c r="AQ751" t="s">
        <v>74</v>
      </c>
      <c r="AR751" t="s">
        <v>3246</v>
      </c>
      <c r="AS751" t="s">
        <v>3247</v>
      </c>
      <c r="AT751" t="s">
        <v>10127</v>
      </c>
      <c r="AU751">
        <v>2001</v>
      </c>
      <c r="AV751">
        <v>13</v>
      </c>
      <c r="AW751">
        <v>1</v>
      </c>
      <c r="AX751" t="s">
        <v>74</v>
      </c>
      <c r="AY751" t="s">
        <v>74</v>
      </c>
      <c r="AZ751" t="s">
        <v>74</v>
      </c>
      <c r="BA751" t="s">
        <v>74</v>
      </c>
      <c r="BB751">
        <v>3</v>
      </c>
      <c r="BC751">
        <v>8</v>
      </c>
      <c r="BD751" t="s">
        <v>74</v>
      </c>
      <c r="BE751" t="s">
        <v>10167</v>
      </c>
      <c r="BF751" t="str">
        <f>HYPERLINK("http://dx.doi.org/10.1017/S0954102001000025","http://dx.doi.org/10.1017/S0954102001000025")</f>
        <v>http://dx.doi.org/10.1017/S0954102001000025</v>
      </c>
      <c r="BG751" t="s">
        <v>74</v>
      </c>
      <c r="BH751" t="s">
        <v>74</v>
      </c>
      <c r="BI751">
        <v>6</v>
      </c>
      <c r="BJ751" t="s">
        <v>3249</v>
      </c>
      <c r="BK751" t="s">
        <v>88</v>
      </c>
      <c r="BL751" t="s">
        <v>3250</v>
      </c>
      <c r="BM751" t="s">
        <v>10157</v>
      </c>
      <c r="BN751" t="s">
        <v>74</v>
      </c>
      <c r="BO751" t="s">
        <v>74</v>
      </c>
      <c r="BP751" t="s">
        <v>74</v>
      </c>
      <c r="BQ751" t="s">
        <v>74</v>
      </c>
      <c r="BR751" t="s">
        <v>91</v>
      </c>
      <c r="BS751" t="s">
        <v>10168</v>
      </c>
      <c r="BT751" t="str">
        <f>HYPERLINK("https%3A%2F%2Fwww.webofscience.com%2Fwos%2Fwoscc%2Ffull-record%2FWOS:000168077200002","View Full Record in Web of Science")</f>
        <v>View Full Record in Web of Science</v>
      </c>
    </row>
    <row r="752" spans="1:72" x14ac:dyDescent="0.15">
      <c r="A752" t="s">
        <v>72</v>
      </c>
      <c r="B752" t="s">
        <v>10169</v>
      </c>
      <c r="C752" t="s">
        <v>74</v>
      </c>
      <c r="D752" t="s">
        <v>74</v>
      </c>
      <c r="E752" t="s">
        <v>74</v>
      </c>
      <c r="F752" t="s">
        <v>10169</v>
      </c>
      <c r="G752" t="s">
        <v>74</v>
      </c>
      <c r="H752" t="s">
        <v>74</v>
      </c>
      <c r="I752" t="s">
        <v>10170</v>
      </c>
      <c r="J752" t="s">
        <v>3241</v>
      </c>
      <c r="K752" t="s">
        <v>74</v>
      </c>
      <c r="L752" t="s">
        <v>74</v>
      </c>
      <c r="M752" t="s">
        <v>77</v>
      </c>
      <c r="N752" t="s">
        <v>120</v>
      </c>
      <c r="O752" t="s">
        <v>74</v>
      </c>
      <c r="P752" t="s">
        <v>74</v>
      </c>
      <c r="Q752" t="s">
        <v>74</v>
      </c>
      <c r="R752" t="s">
        <v>74</v>
      </c>
      <c r="S752" t="s">
        <v>74</v>
      </c>
      <c r="T752" t="s">
        <v>10171</v>
      </c>
      <c r="U752" t="s">
        <v>10172</v>
      </c>
      <c r="V752" t="s">
        <v>10173</v>
      </c>
      <c r="W752" t="s">
        <v>10174</v>
      </c>
      <c r="X752" t="s">
        <v>10175</v>
      </c>
      <c r="Y752" t="s">
        <v>10176</v>
      </c>
      <c r="Z752" t="s">
        <v>10177</v>
      </c>
      <c r="AA752" t="s">
        <v>10178</v>
      </c>
      <c r="AB752" t="s">
        <v>74</v>
      </c>
      <c r="AC752" t="s">
        <v>74</v>
      </c>
      <c r="AD752" t="s">
        <v>74</v>
      </c>
      <c r="AE752" t="s">
        <v>74</v>
      </c>
      <c r="AF752" t="s">
        <v>74</v>
      </c>
      <c r="AG752">
        <v>44</v>
      </c>
      <c r="AH752">
        <v>90</v>
      </c>
      <c r="AI752">
        <v>103</v>
      </c>
      <c r="AJ752">
        <v>1</v>
      </c>
      <c r="AK752">
        <v>31</v>
      </c>
      <c r="AL752" t="s">
        <v>1293</v>
      </c>
      <c r="AM752" t="s">
        <v>204</v>
      </c>
      <c r="AN752" t="s">
        <v>1699</v>
      </c>
      <c r="AO752" t="s">
        <v>3245</v>
      </c>
      <c r="AP752" t="s">
        <v>3315</v>
      </c>
      <c r="AQ752" t="s">
        <v>74</v>
      </c>
      <c r="AR752" t="s">
        <v>3246</v>
      </c>
      <c r="AS752" t="s">
        <v>3247</v>
      </c>
      <c r="AT752" t="s">
        <v>10127</v>
      </c>
      <c r="AU752">
        <v>2001</v>
      </c>
      <c r="AV752">
        <v>13</v>
      </c>
      <c r="AW752">
        <v>1</v>
      </c>
      <c r="AX752" t="s">
        <v>74</v>
      </c>
      <c r="AY752" t="s">
        <v>74</v>
      </c>
      <c r="AZ752" t="s">
        <v>74</v>
      </c>
      <c r="BA752" t="s">
        <v>74</v>
      </c>
      <c r="BB752">
        <v>9</v>
      </c>
      <c r="BC752">
        <v>17</v>
      </c>
      <c r="BD752" t="s">
        <v>74</v>
      </c>
      <c r="BE752" t="s">
        <v>10179</v>
      </c>
      <c r="BF752" t="str">
        <f>HYPERLINK("http://dx.doi.org/10.1017/S0954102001000037","http://dx.doi.org/10.1017/S0954102001000037")</f>
        <v>http://dx.doi.org/10.1017/S0954102001000037</v>
      </c>
      <c r="BG752" t="s">
        <v>74</v>
      </c>
      <c r="BH752" t="s">
        <v>74</v>
      </c>
      <c r="BI752">
        <v>9</v>
      </c>
      <c r="BJ752" t="s">
        <v>3249</v>
      </c>
      <c r="BK752" t="s">
        <v>88</v>
      </c>
      <c r="BL752" t="s">
        <v>3250</v>
      </c>
      <c r="BM752" t="s">
        <v>10157</v>
      </c>
      <c r="BN752" t="s">
        <v>74</v>
      </c>
      <c r="BO752" t="s">
        <v>74</v>
      </c>
      <c r="BP752" t="s">
        <v>74</v>
      </c>
      <c r="BQ752" t="s">
        <v>74</v>
      </c>
      <c r="BR752" t="s">
        <v>91</v>
      </c>
      <c r="BS752" t="s">
        <v>10180</v>
      </c>
      <c r="BT752" t="str">
        <f>HYPERLINK("https%3A%2F%2Fwww.webofscience.com%2Fwos%2Fwoscc%2Ffull-record%2FWOS:000168077200003","View Full Record in Web of Science")</f>
        <v>View Full Record in Web of Science</v>
      </c>
    </row>
    <row r="753" spans="1:72" x14ac:dyDescent="0.15">
      <c r="A753" t="s">
        <v>72</v>
      </c>
      <c r="B753" t="s">
        <v>10181</v>
      </c>
      <c r="C753" t="s">
        <v>74</v>
      </c>
      <c r="D753" t="s">
        <v>74</v>
      </c>
      <c r="E753" t="s">
        <v>74</v>
      </c>
      <c r="F753" t="s">
        <v>10181</v>
      </c>
      <c r="G753" t="s">
        <v>74</v>
      </c>
      <c r="H753" t="s">
        <v>74</v>
      </c>
      <c r="I753" t="s">
        <v>10182</v>
      </c>
      <c r="J753" t="s">
        <v>3241</v>
      </c>
      <c r="K753" t="s">
        <v>74</v>
      </c>
      <c r="L753" t="s">
        <v>74</v>
      </c>
      <c r="M753" t="s">
        <v>77</v>
      </c>
      <c r="N753" t="s">
        <v>120</v>
      </c>
      <c r="O753" t="s">
        <v>74</v>
      </c>
      <c r="P753" t="s">
        <v>74</v>
      </c>
      <c r="Q753" t="s">
        <v>74</v>
      </c>
      <c r="R753" t="s">
        <v>74</v>
      </c>
      <c r="S753" t="s">
        <v>74</v>
      </c>
      <c r="T753" t="s">
        <v>10183</v>
      </c>
      <c r="U753" t="s">
        <v>10184</v>
      </c>
      <c r="V753" t="s">
        <v>10185</v>
      </c>
      <c r="W753" t="s">
        <v>10186</v>
      </c>
      <c r="X753" t="s">
        <v>10187</v>
      </c>
      <c r="Y753" t="s">
        <v>10188</v>
      </c>
      <c r="Z753" t="s">
        <v>74</v>
      </c>
      <c r="AA753" t="s">
        <v>74</v>
      </c>
      <c r="AB753" t="s">
        <v>10189</v>
      </c>
      <c r="AC753" t="s">
        <v>74</v>
      </c>
      <c r="AD753" t="s">
        <v>74</v>
      </c>
      <c r="AE753" t="s">
        <v>74</v>
      </c>
      <c r="AF753" t="s">
        <v>74</v>
      </c>
      <c r="AG753">
        <v>25</v>
      </c>
      <c r="AH753">
        <v>35</v>
      </c>
      <c r="AI753">
        <v>41</v>
      </c>
      <c r="AJ753">
        <v>0</v>
      </c>
      <c r="AK753">
        <v>9</v>
      </c>
      <c r="AL753" t="s">
        <v>1293</v>
      </c>
      <c r="AM753" t="s">
        <v>204</v>
      </c>
      <c r="AN753" t="s">
        <v>1699</v>
      </c>
      <c r="AO753" t="s">
        <v>3245</v>
      </c>
      <c r="AP753" t="s">
        <v>3315</v>
      </c>
      <c r="AQ753" t="s">
        <v>74</v>
      </c>
      <c r="AR753" t="s">
        <v>3246</v>
      </c>
      <c r="AS753" t="s">
        <v>3247</v>
      </c>
      <c r="AT753" t="s">
        <v>10127</v>
      </c>
      <c r="AU753">
        <v>2001</v>
      </c>
      <c r="AV753">
        <v>13</v>
      </c>
      <c r="AW753">
        <v>1</v>
      </c>
      <c r="AX753" t="s">
        <v>74</v>
      </c>
      <c r="AY753" t="s">
        <v>74</v>
      </c>
      <c r="AZ753" t="s">
        <v>74</v>
      </c>
      <c r="BA753" t="s">
        <v>74</v>
      </c>
      <c r="BB753">
        <v>18</v>
      </c>
      <c r="BC753">
        <v>27</v>
      </c>
      <c r="BD753" t="s">
        <v>74</v>
      </c>
      <c r="BE753" t="s">
        <v>10190</v>
      </c>
      <c r="BF753" t="str">
        <f>HYPERLINK("http://dx.doi.org/10.1017/S0954102001000049","http://dx.doi.org/10.1017/S0954102001000049")</f>
        <v>http://dx.doi.org/10.1017/S0954102001000049</v>
      </c>
      <c r="BG753" t="s">
        <v>74</v>
      </c>
      <c r="BH753" t="s">
        <v>74</v>
      </c>
      <c r="BI753">
        <v>10</v>
      </c>
      <c r="BJ753" t="s">
        <v>3249</v>
      </c>
      <c r="BK753" t="s">
        <v>88</v>
      </c>
      <c r="BL753" t="s">
        <v>3250</v>
      </c>
      <c r="BM753" t="s">
        <v>10157</v>
      </c>
      <c r="BN753" t="s">
        <v>74</v>
      </c>
      <c r="BO753" t="s">
        <v>74</v>
      </c>
      <c r="BP753" t="s">
        <v>74</v>
      </c>
      <c r="BQ753" t="s">
        <v>74</v>
      </c>
      <c r="BR753" t="s">
        <v>91</v>
      </c>
      <c r="BS753" t="s">
        <v>10191</v>
      </c>
      <c r="BT753" t="str">
        <f>HYPERLINK("https%3A%2F%2Fwww.webofscience.com%2Fwos%2Fwoscc%2Ffull-record%2FWOS:000168077200004","View Full Record in Web of Science")</f>
        <v>View Full Record in Web of Science</v>
      </c>
    </row>
    <row r="754" spans="1:72" x14ac:dyDescent="0.15">
      <c r="A754" t="s">
        <v>72</v>
      </c>
      <c r="B754" t="s">
        <v>10192</v>
      </c>
      <c r="C754" t="s">
        <v>74</v>
      </c>
      <c r="D754" t="s">
        <v>74</v>
      </c>
      <c r="E754" t="s">
        <v>74</v>
      </c>
      <c r="F754" t="s">
        <v>10192</v>
      </c>
      <c r="G754" t="s">
        <v>74</v>
      </c>
      <c r="H754" t="s">
        <v>74</v>
      </c>
      <c r="I754" t="s">
        <v>10193</v>
      </c>
      <c r="J754" t="s">
        <v>3241</v>
      </c>
      <c r="K754" t="s">
        <v>74</v>
      </c>
      <c r="L754" t="s">
        <v>74</v>
      </c>
      <c r="M754" t="s">
        <v>77</v>
      </c>
      <c r="N754" t="s">
        <v>120</v>
      </c>
      <c r="O754" t="s">
        <v>74</v>
      </c>
      <c r="P754" t="s">
        <v>74</v>
      </c>
      <c r="Q754" t="s">
        <v>74</v>
      </c>
      <c r="R754" t="s">
        <v>74</v>
      </c>
      <c r="S754" t="s">
        <v>74</v>
      </c>
      <c r="T754" t="s">
        <v>10194</v>
      </c>
      <c r="U754" t="s">
        <v>10195</v>
      </c>
      <c r="V754" t="s">
        <v>10196</v>
      </c>
      <c r="W754" t="s">
        <v>10197</v>
      </c>
      <c r="X754" t="s">
        <v>10198</v>
      </c>
      <c r="Y754" t="s">
        <v>10199</v>
      </c>
      <c r="Z754" t="s">
        <v>74</v>
      </c>
      <c r="AA754" t="s">
        <v>74</v>
      </c>
      <c r="AB754" t="s">
        <v>74</v>
      </c>
      <c r="AC754" t="s">
        <v>74</v>
      </c>
      <c r="AD754" t="s">
        <v>74</v>
      </c>
      <c r="AE754" t="s">
        <v>74</v>
      </c>
      <c r="AF754" t="s">
        <v>74</v>
      </c>
      <c r="AG754">
        <v>27</v>
      </c>
      <c r="AH754">
        <v>46</v>
      </c>
      <c r="AI754">
        <v>47</v>
      </c>
      <c r="AJ754">
        <v>1</v>
      </c>
      <c r="AK754">
        <v>21</v>
      </c>
      <c r="AL754" t="s">
        <v>1293</v>
      </c>
      <c r="AM754" t="s">
        <v>3243</v>
      </c>
      <c r="AN754" t="s">
        <v>10156</v>
      </c>
      <c r="AO754" t="s">
        <v>3245</v>
      </c>
      <c r="AP754" t="s">
        <v>74</v>
      </c>
      <c r="AQ754" t="s">
        <v>74</v>
      </c>
      <c r="AR754" t="s">
        <v>3246</v>
      </c>
      <c r="AS754" t="s">
        <v>3247</v>
      </c>
      <c r="AT754" t="s">
        <v>10127</v>
      </c>
      <c r="AU754">
        <v>2001</v>
      </c>
      <c r="AV754">
        <v>13</v>
      </c>
      <c r="AW754">
        <v>1</v>
      </c>
      <c r="AX754" t="s">
        <v>74</v>
      </c>
      <c r="AY754" t="s">
        <v>74</v>
      </c>
      <c r="AZ754" t="s">
        <v>74</v>
      </c>
      <c r="BA754" t="s">
        <v>74</v>
      </c>
      <c r="BB754">
        <v>28</v>
      </c>
      <c r="BC754">
        <v>36</v>
      </c>
      <c r="BD754" t="s">
        <v>74</v>
      </c>
      <c r="BE754" t="s">
        <v>74</v>
      </c>
      <c r="BF754" t="s">
        <v>74</v>
      </c>
      <c r="BG754" t="s">
        <v>74</v>
      </c>
      <c r="BH754" t="s">
        <v>74</v>
      </c>
      <c r="BI754">
        <v>9</v>
      </c>
      <c r="BJ754" t="s">
        <v>3249</v>
      </c>
      <c r="BK754" t="s">
        <v>88</v>
      </c>
      <c r="BL754" t="s">
        <v>3250</v>
      </c>
      <c r="BM754" t="s">
        <v>10157</v>
      </c>
      <c r="BN754" t="s">
        <v>74</v>
      </c>
      <c r="BO754" t="s">
        <v>74</v>
      </c>
      <c r="BP754" t="s">
        <v>74</v>
      </c>
      <c r="BQ754" t="s">
        <v>74</v>
      </c>
      <c r="BR754" t="s">
        <v>91</v>
      </c>
      <c r="BS754" t="s">
        <v>10200</v>
      </c>
      <c r="BT754" t="str">
        <f>HYPERLINK("https%3A%2F%2Fwww.webofscience.com%2Fwos%2Fwoscc%2Ffull-record%2FWOS:000168077200005","View Full Record in Web of Science")</f>
        <v>View Full Record in Web of Science</v>
      </c>
    </row>
    <row r="755" spans="1:72" x14ac:dyDescent="0.15">
      <c r="A755" t="s">
        <v>72</v>
      </c>
      <c r="B755" t="s">
        <v>10201</v>
      </c>
      <c r="C755" t="s">
        <v>74</v>
      </c>
      <c r="D755" t="s">
        <v>74</v>
      </c>
      <c r="E755" t="s">
        <v>74</v>
      </c>
      <c r="F755" t="s">
        <v>10201</v>
      </c>
      <c r="G755" t="s">
        <v>74</v>
      </c>
      <c r="H755" t="s">
        <v>74</v>
      </c>
      <c r="I755" t="s">
        <v>10202</v>
      </c>
      <c r="J755" t="s">
        <v>3241</v>
      </c>
      <c r="K755" t="s">
        <v>74</v>
      </c>
      <c r="L755" t="s">
        <v>74</v>
      </c>
      <c r="M755" t="s">
        <v>77</v>
      </c>
      <c r="N755" t="s">
        <v>120</v>
      </c>
      <c r="O755" t="s">
        <v>74</v>
      </c>
      <c r="P755" t="s">
        <v>74</v>
      </c>
      <c r="Q755" t="s">
        <v>74</v>
      </c>
      <c r="R755" t="s">
        <v>74</v>
      </c>
      <c r="S755" t="s">
        <v>74</v>
      </c>
      <c r="T755" t="s">
        <v>10203</v>
      </c>
      <c r="U755" t="s">
        <v>10204</v>
      </c>
      <c r="V755" t="s">
        <v>10205</v>
      </c>
      <c r="W755" t="s">
        <v>10206</v>
      </c>
      <c r="X755" t="s">
        <v>10207</v>
      </c>
      <c r="Y755" t="s">
        <v>10208</v>
      </c>
      <c r="Z755" t="s">
        <v>74</v>
      </c>
      <c r="AA755" t="s">
        <v>10209</v>
      </c>
      <c r="AB755" t="s">
        <v>10210</v>
      </c>
      <c r="AC755" t="s">
        <v>74</v>
      </c>
      <c r="AD755" t="s">
        <v>74</v>
      </c>
      <c r="AE755" t="s">
        <v>74</v>
      </c>
      <c r="AF755" t="s">
        <v>74</v>
      </c>
      <c r="AG755">
        <v>12</v>
      </c>
      <c r="AH755">
        <v>25</v>
      </c>
      <c r="AI755">
        <v>29</v>
      </c>
      <c r="AJ755">
        <v>4</v>
      </c>
      <c r="AK755">
        <v>8</v>
      </c>
      <c r="AL755" t="s">
        <v>1293</v>
      </c>
      <c r="AM755" t="s">
        <v>3243</v>
      </c>
      <c r="AN755" t="s">
        <v>10156</v>
      </c>
      <c r="AO755" t="s">
        <v>3245</v>
      </c>
      <c r="AP755" t="s">
        <v>74</v>
      </c>
      <c r="AQ755" t="s">
        <v>74</v>
      </c>
      <c r="AR755" t="s">
        <v>3246</v>
      </c>
      <c r="AS755" t="s">
        <v>3247</v>
      </c>
      <c r="AT755" t="s">
        <v>10127</v>
      </c>
      <c r="AU755">
        <v>2001</v>
      </c>
      <c r="AV755">
        <v>13</v>
      </c>
      <c r="AW755">
        <v>1</v>
      </c>
      <c r="AX755" t="s">
        <v>74</v>
      </c>
      <c r="AY755" t="s">
        <v>74</v>
      </c>
      <c r="AZ755" t="s">
        <v>74</v>
      </c>
      <c r="BA755" t="s">
        <v>74</v>
      </c>
      <c r="BB755">
        <v>37</v>
      </c>
      <c r="BC755">
        <v>40</v>
      </c>
      <c r="BD755" t="s">
        <v>74</v>
      </c>
      <c r="BE755" t="s">
        <v>10211</v>
      </c>
      <c r="BF755" t="str">
        <f>HYPERLINK("http://dx.doi.org/10.1017/S0954102001000062","http://dx.doi.org/10.1017/S0954102001000062")</f>
        <v>http://dx.doi.org/10.1017/S0954102001000062</v>
      </c>
      <c r="BG755" t="s">
        <v>74</v>
      </c>
      <c r="BH755" t="s">
        <v>74</v>
      </c>
      <c r="BI755">
        <v>4</v>
      </c>
      <c r="BJ755" t="s">
        <v>3249</v>
      </c>
      <c r="BK755" t="s">
        <v>88</v>
      </c>
      <c r="BL755" t="s">
        <v>3250</v>
      </c>
      <c r="BM755" t="s">
        <v>10157</v>
      </c>
      <c r="BN755" t="s">
        <v>74</v>
      </c>
      <c r="BO755" t="s">
        <v>74</v>
      </c>
      <c r="BP755" t="s">
        <v>74</v>
      </c>
      <c r="BQ755" t="s">
        <v>74</v>
      </c>
      <c r="BR755" t="s">
        <v>91</v>
      </c>
      <c r="BS755" t="s">
        <v>10212</v>
      </c>
      <c r="BT755" t="str">
        <f>HYPERLINK("https%3A%2F%2Fwww.webofscience.com%2Fwos%2Fwoscc%2Ffull-record%2FWOS:000168077200006","View Full Record in Web of Science")</f>
        <v>View Full Record in Web of Science</v>
      </c>
    </row>
    <row r="756" spans="1:72" x14ac:dyDescent="0.15">
      <c r="A756" t="s">
        <v>72</v>
      </c>
      <c r="B756" t="s">
        <v>10213</v>
      </c>
      <c r="C756" t="s">
        <v>74</v>
      </c>
      <c r="D756" t="s">
        <v>74</v>
      </c>
      <c r="E756" t="s">
        <v>74</v>
      </c>
      <c r="F756" t="s">
        <v>10213</v>
      </c>
      <c r="G756" t="s">
        <v>74</v>
      </c>
      <c r="H756" t="s">
        <v>74</v>
      </c>
      <c r="I756" t="s">
        <v>10214</v>
      </c>
      <c r="J756" t="s">
        <v>3241</v>
      </c>
      <c r="K756" t="s">
        <v>74</v>
      </c>
      <c r="L756" t="s">
        <v>74</v>
      </c>
      <c r="M756" t="s">
        <v>77</v>
      </c>
      <c r="N756" t="s">
        <v>120</v>
      </c>
      <c r="O756" t="s">
        <v>74</v>
      </c>
      <c r="P756" t="s">
        <v>74</v>
      </c>
      <c r="Q756" t="s">
        <v>74</v>
      </c>
      <c r="R756" t="s">
        <v>74</v>
      </c>
      <c r="S756" t="s">
        <v>74</v>
      </c>
      <c r="T756" t="s">
        <v>10215</v>
      </c>
      <c r="U756" t="s">
        <v>10216</v>
      </c>
      <c r="V756" t="s">
        <v>10217</v>
      </c>
      <c r="W756" t="s">
        <v>10218</v>
      </c>
      <c r="X756" t="s">
        <v>10219</v>
      </c>
      <c r="Y756" t="s">
        <v>10220</v>
      </c>
      <c r="Z756" t="s">
        <v>10221</v>
      </c>
      <c r="AA756" t="s">
        <v>10222</v>
      </c>
      <c r="AB756" t="s">
        <v>10223</v>
      </c>
      <c r="AC756" t="s">
        <v>74</v>
      </c>
      <c r="AD756" t="s">
        <v>74</v>
      </c>
      <c r="AE756" t="s">
        <v>74</v>
      </c>
      <c r="AF756" t="s">
        <v>74</v>
      </c>
      <c r="AG756">
        <v>41</v>
      </c>
      <c r="AH756">
        <v>28</v>
      </c>
      <c r="AI756">
        <v>33</v>
      </c>
      <c r="AJ756">
        <v>1</v>
      </c>
      <c r="AK756">
        <v>7</v>
      </c>
      <c r="AL756" t="s">
        <v>1293</v>
      </c>
      <c r="AM756" t="s">
        <v>204</v>
      </c>
      <c r="AN756" t="s">
        <v>1699</v>
      </c>
      <c r="AO756" t="s">
        <v>3245</v>
      </c>
      <c r="AP756" t="s">
        <v>3315</v>
      </c>
      <c r="AQ756" t="s">
        <v>74</v>
      </c>
      <c r="AR756" t="s">
        <v>3246</v>
      </c>
      <c r="AS756" t="s">
        <v>3247</v>
      </c>
      <c r="AT756" t="s">
        <v>10127</v>
      </c>
      <c r="AU756">
        <v>2001</v>
      </c>
      <c r="AV756">
        <v>13</v>
      </c>
      <c r="AW756">
        <v>1</v>
      </c>
      <c r="AX756" t="s">
        <v>74</v>
      </c>
      <c r="AY756" t="s">
        <v>74</v>
      </c>
      <c r="AZ756" t="s">
        <v>74</v>
      </c>
      <c r="BA756" t="s">
        <v>74</v>
      </c>
      <c r="BB756">
        <v>41</v>
      </c>
      <c r="BC756">
        <v>52</v>
      </c>
      <c r="BD756" t="s">
        <v>74</v>
      </c>
      <c r="BE756" t="s">
        <v>10224</v>
      </c>
      <c r="BF756" t="str">
        <f>HYPERLINK("http://dx.doi.org/10.1017/S0954102001000074","http://dx.doi.org/10.1017/S0954102001000074")</f>
        <v>http://dx.doi.org/10.1017/S0954102001000074</v>
      </c>
      <c r="BG756" t="s">
        <v>74</v>
      </c>
      <c r="BH756" t="s">
        <v>74</v>
      </c>
      <c r="BI756">
        <v>12</v>
      </c>
      <c r="BJ756" t="s">
        <v>3249</v>
      </c>
      <c r="BK756" t="s">
        <v>88</v>
      </c>
      <c r="BL756" t="s">
        <v>3250</v>
      </c>
      <c r="BM756" t="s">
        <v>10157</v>
      </c>
      <c r="BN756" t="s">
        <v>74</v>
      </c>
      <c r="BO756" t="s">
        <v>74</v>
      </c>
      <c r="BP756" t="s">
        <v>74</v>
      </c>
      <c r="BQ756" t="s">
        <v>74</v>
      </c>
      <c r="BR756" t="s">
        <v>91</v>
      </c>
      <c r="BS756" t="s">
        <v>10225</v>
      </c>
      <c r="BT756" t="str">
        <f>HYPERLINK("https%3A%2F%2Fwww.webofscience.com%2Fwos%2Fwoscc%2Ffull-record%2FWOS:000168077200007","View Full Record in Web of Science")</f>
        <v>View Full Record in Web of Science</v>
      </c>
    </row>
    <row r="757" spans="1:72" x14ac:dyDescent="0.15">
      <c r="A757" t="s">
        <v>72</v>
      </c>
      <c r="B757" t="s">
        <v>10226</v>
      </c>
      <c r="C757" t="s">
        <v>74</v>
      </c>
      <c r="D757" t="s">
        <v>74</v>
      </c>
      <c r="E757" t="s">
        <v>74</v>
      </c>
      <c r="F757" t="s">
        <v>10226</v>
      </c>
      <c r="G757" t="s">
        <v>74</v>
      </c>
      <c r="H757" t="s">
        <v>74</v>
      </c>
      <c r="I757" t="s">
        <v>10227</v>
      </c>
      <c r="J757" t="s">
        <v>3241</v>
      </c>
      <c r="K757" t="s">
        <v>74</v>
      </c>
      <c r="L757" t="s">
        <v>74</v>
      </c>
      <c r="M757" t="s">
        <v>77</v>
      </c>
      <c r="N757" t="s">
        <v>120</v>
      </c>
      <c r="O757" t="s">
        <v>74</v>
      </c>
      <c r="P757" t="s">
        <v>74</v>
      </c>
      <c r="Q757" t="s">
        <v>74</v>
      </c>
      <c r="R757" t="s">
        <v>74</v>
      </c>
      <c r="S757" t="s">
        <v>74</v>
      </c>
      <c r="T757" t="s">
        <v>10228</v>
      </c>
      <c r="U757" t="s">
        <v>10229</v>
      </c>
      <c r="V757" t="s">
        <v>10230</v>
      </c>
      <c r="W757" t="s">
        <v>10231</v>
      </c>
      <c r="X757" t="s">
        <v>10232</v>
      </c>
      <c r="Y757" t="s">
        <v>10233</v>
      </c>
      <c r="Z757" t="s">
        <v>74</v>
      </c>
      <c r="AA757" t="s">
        <v>74</v>
      </c>
      <c r="AB757" t="s">
        <v>74</v>
      </c>
      <c r="AC757" t="s">
        <v>74</v>
      </c>
      <c r="AD757" t="s">
        <v>74</v>
      </c>
      <c r="AE757" t="s">
        <v>74</v>
      </c>
      <c r="AF757" t="s">
        <v>74</v>
      </c>
      <c r="AG757">
        <v>30</v>
      </c>
      <c r="AH757">
        <v>58</v>
      </c>
      <c r="AI757">
        <v>66</v>
      </c>
      <c r="AJ757">
        <v>0</v>
      </c>
      <c r="AK757">
        <v>7</v>
      </c>
      <c r="AL757" t="s">
        <v>1293</v>
      </c>
      <c r="AM757" t="s">
        <v>204</v>
      </c>
      <c r="AN757" t="s">
        <v>1699</v>
      </c>
      <c r="AO757" t="s">
        <v>3245</v>
      </c>
      <c r="AP757" t="s">
        <v>3315</v>
      </c>
      <c r="AQ757" t="s">
        <v>74</v>
      </c>
      <c r="AR757" t="s">
        <v>3246</v>
      </c>
      <c r="AS757" t="s">
        <v>3247</v>
      </c>
      <c r="AT757" t="s">
        <v>10127</v>
      </c>
      <c r="AU757">
        <v>2001</v>
      </c>
      <c r="AV757">
        <v>13</v>
      </c>
      <c r="AW757">
        <v>1</v>
      </c>
      <c r="AX757" t="s">
        <v>74</v>
      </c>
      <c r="AY757" t="s">
        <v>74</v>
      </c>
      <c r="AZ757" t="s">
        <v>74</v>
      </c>
      <c r="BA757" t="s">
        <v>74</v>
      </c>
      <c r="BB757">
        <v>53</v>
      </c>
      <c r="BC757">
        <v>60</v>
      </c>
      <c r="BD757" t="s">
        <v>74</v>
      </c>
      <c r="BE757" t="s">
        <v>10234</v>
      </c>
      <c r="BF757" t="str">
        <f>HYPERLINK("http://dx.doi.org/10.1017/S0954102001000086","http://dx.doi.org/10.1017/S0954102001000086")</f>
        <v>http://dx.doi.org/10.1017/S0954102001000086</v>
      </c>
      <c r="BG757" t="s">
        <v>74</v>
      </c>
      <c r="BH757" t="s">
        <v>74</v>
      </c>
      <c r="BI757">
        <v>8</v>
      </c>
      <c r="BJ757" t="s">
        <v>3249</v>
      </c>
      <c r="BK757" t="s">
        <v>88</v>
      </c>
      <c r="BL757" t="s">
        <v>3250</v>
      </c>
      <c r="BM757" t="s">
        <v>10157</v>
      </c>
      <c r="BN757" t="s">
        <v>74</v>
      </c>
      <c r="BO757" t="s">
        <v>1685</v>
      </c>
      <c r="BP757" t="s">
        <v>74</v>
      </c>
      <c r="BQ757" t="s">
        <v>74</v>
      </c>
      <c r="BR757" t="s">
        <v>91</v>
      </c>
      <c r="BS757" t="s">
        <v>10235</v>
      </c>
      <c r="BT757" t="str">
        <f>HYPERLINK("https%3A%2F%2Fwww.webofscience.com%2Fwos%2Fwoscc%2Ffull-record%2FWOS:000168077200008","View Full Record in Web of Science")</f>
        <v>View Full Record in Web of Science</v>
      </c>
    </row>
    <row r="758" spans="1:72" x14ac:dyDescent="0.15">
      <c r="A758" t="s">
        <v>72</v>
      </c>
      <c r="B758" t="s">
        <v>10236</v>
      </c>
      <c r="C758" t="s">
        <v>74</v>
      </c>
      <c r="D758" t="s">
        <v>74</v>
      </c>
      <c r="E758" t="s">
        <v>74</v>
      </c>
      <c r="F758" t="s">
        <v>10236</v>
      </c>
      <c r="G758" t="s">
        <v>74</v>
      </c>
      <c r="H758" t="s">
        <v>74</v>
      </c>
      <c r="I758" t="s">
        <v>10237</v>
      </c>
      <c r="J758" t="s">
        <v>3241</v>
      </c>
      <c r="K758" t="s">
        <v>74</v>
      </c>
      <c r="L758" t="s">
        <v>74</v>
      </c>
      <c r="M758" t="s">
        <v>77</v>
      </c>
      <c r="N758" t="s">
        <v>120</v>
      </c>
      <c r="O758" t="s">
        <v>74</v>
      </c>
      <c r="P758" t="s">
        <v>74</v>
      </c>
      <c r="Q758" t="s">
        <v>74</v>
      </c>
      <c r="R758" t="s">
        <v>74</v>
      </c>
      <c r="S758" t="s">
        <v>74</v>
      </c>
      <c r="T758" t="s">
        <v>10238</v>
      </c>
      <c r="U758" t="s">
        <v>10239</v>
      </c>
      <c r="V758" t="s">
        <v>10240</v>
      </c>
      <c r="W758" t="s">
        <v>10241</v>
      </c>
      <c r="X758" t="s">
        <v>1607</v>
      </c>
      <c r="Y758" t="s">
        <v>10242</v>
      </c>
      <c r="Z758" t="s">
        <v>74</v>
      </c>
      <c r="AA758" t="s">
        <v>74</v>
      </c>
      <c r="AB758" t="s">
        <v>74</v>
      </c>
      <c r="AC758" t="s">
        <v>74</v>
      </c>
      <c r="AD758" t="s">
        <v>74</v>
      </c>
      <c r="AE758" t="s">
        <v>74</v>
      </c>
      <c r="AF758" t="s">
        <v>74</v>
      </c>
      <c r="AG758">
        <v>21</v>
      </c>
      <c r="AH758">
        <v>0</v>
      </c>
      <c r="AI758">
        <v>0</v>
      </c>
      <c r="AJ758">
        <v>1</v>
      </c>
      <c r="AK758">
        <v>4</v>
      </c>
      <c r="AL758" t="s">
        <v>1293</v>
      </c>
      <c r="AM758" t="s">
        <v>3243</v>
      </c>
      <c r="AN758" t="s">
        <v>10156</v>
      </c>
      <c r="AO758" t="s">
        <v>3245</v>
      </c>
      <c r="AP758" t="s">
        <v>74</v>
      </c>
      <c r="AQ758" t="s">
        <v>74</v>
      </c>
      <c r="AR758" t="s">
        <v>3246</v>
      </c>
      <c r="AS758" t="s">
        <v>3247</v>
      </c>
      <c r="AT758" t="s">
        <v>10127</v>
      </c>
      <c r="AU758">
        <v>2001</v>
      </c>
      <c r="AV758">
        <v>13</v>
      </c>
      <c r="AW758">
        <v>1</v>
      </c>
      <c r="AX758" t="s">
        <v>74</v>
      </c>
      <c r="AY758" t="s">
        <v>74</v>
      </c>
      <c r="AZ758" t="s">
        <v>74</v>
      </c>
      <c r="BA758" t="s">
        <v>74</v>
      </c>
      <c r="BB758">
        <v>61</v>
      </c>
      <c r="BC758">
        <v>66</v>
      </c>
      <c r="BD758" t="s">
        <v>74</v>
      </c>
      <c r="BE758" t="s">
        <v>10243</v>
      </c>
      <c r="BF758" t="str">
        <f>HYPERLINK("http://dx.doi.org/10.1017/S0954102001000098","http://dx.doi.org/10.1017/S0954102001000098")</f>
        <v>http://dx.doi.org/10.1017/S0954102001000098</v>
      </c>
      <c r="BG758" t="s">
        <v>74</v>
      </c>
      <c r="BH758" t="s">
        <v>74</v>
      </c>
      <c r="BI758">
        <v>6</v>
      </c>
      <c r="BJ758" t="s">
        <v>3249</v>
      </c>
      <c r="BK758" t="s">
        <v>88</v>
      </c>
      <c r="BL758" t="s">
        <v>3250</v>
      </c>
      <c r="BM758" t="s">
        <v>10157</v>
      </c>
      <c r="BN758" t="s">
        <v>74</v>
      </c>
      <c r="BO758" t="s">
        <v>2390</v>
      </c>
      <c r="BP758" t="s">
        <v>74</v>
      </c>
      <c r="BQ758" t="s">
        <v>74</v>
      </c>
      <c r="BR758" t="s">
        <v>91</v>
      </c>
      <c r="BS758" t="s">
        <v>10244</v>
      </c>
      <c r="BT758" t="str">
        <f>HYPERLINK("https%3A%2F%2Fwww.webofscience.com%2Fwos%2Fwoscc%2Ffull-record%2FWOS:000168077200009","View Full Record in Web of Science")</f>
        <v>View Full Record in Web of Science</v>
      </c>
    </row>
    <row r="759" spans="1:72" x14ac:dyDescent="0.15">
      <c r="A759" t="s">
        <v>72</v>
      </c>
      <c r="B759" t="s">
        <v>10245</v>
      </c>
      <c r="C759" t="s">
        <v>74</v>
      </c>
      <c r="D759" t="s">
        <v>74</v>
      </c>
      <c r="E759" t="s">
        <v>74</v>
      </c>
      <c r="F759" t="s">
        <v>10245</v>
      </c>
      <c r="G759" t="s">
        <v>74</v>
      </c>
      <c r="H759" t="s">
        <v>74</v>
      </c>
      <c r="I759" t="s">
        <v>10246</v>
      </c>
      <c r="J759" t="s">
        <v>3241</v>
      </c>
      <c r="K759" t="s">
        <v>74</v>
      </c>
      <c r="L759" t="s">
        <v>74</v>
      </c>
      <c r="M759" t="s">
        <v>77</v>
      </c>
      <c r="N759" t="s">
        <v>120</v>
      </c>
      <c r="O759" t="s">
        <v>74</v>
      </c>
      <c r="P759" t="s">
        <v>74</v>
      </c>
      <c r="Q759" t="s">
        <v>74</v>
      </c>
      <c r="R759" t="s">
        <v>74</v>
      </c>
      <c r="S759" t="s">
        <v>74</v>
      </c>
      <c r="T759" t="s">
        <v>10247</v>
      </c>
      <c r="U759" t="s">
        <v>10248</v>
      </c>
      <c r="V759" t="s">
        <v>10249</v>
      </c>
      <c r="W759" t="s">
        <v>10250</v>
      </c>
      <c r="X759" t="s">
        <v>10251</v>
      </c>
      <c r="Y759" t="s">
        <v>10252</v>
      </c>
      <c r="Z759" t="s">
        <v>10253</v>
      </c>
      <c r="AA759" t="s">
        <v>74</v>
      </c>
      <c r="AB759" t="s">
        <v>74</v>
      </c>
      <c r="AC759" t="s">
        <v>74</v>
      </c>
      <c r="AD759" t="s">
        <v>74</v>
      </c>
      <c r="AE759" t="s">
        <v>74</v>
      </c>
      <c r="AF759" t="s">
        <v>74</v>
      </c>
      <c r="AG759">
        <v>35</v>
      </c>
      <c r="AH759">
        <v>7</v>
      </c>
      <c r="AI759">
        <v>7</v>
      </c>
      <c r="AJ759">
        <v>0</v>
      </c>
      <c r="AK759">
        <v>1</v>
      </c>
      <c r="AL759" t="s">
        <v>1293</v>
      </c>
      <c r="AM759" t="s">
        <v>204</v>
      </c>
      <c r="AN759" t="s">
        <v>1699</v>
      </c>
      <c r="AO759" t="s">
        <v>3245</v>
      </c>
      <c r="AP759" t="s">
        <v>3315</v>
      </c>
      <c r="AQ759" t="s">
        <v>74</v>
      </c>
      <c r="AR759" t="s">
        <v>3246</v>
      </c>
      <c r="AS759" t="s">
        <v>3247</v>
      </c>
      <c r="AT759" t="s">
        <v>10127</v>
      </c>
      <c r="AU759">
        <v>2001</v>
      </c>
      <c r="AV759">
        <v>13</v>
      </c>
      <c r="AW759">
        <v>1</v>
      </c>
      <c r="AX759" t="s">
        <v>74</v>
      </c>
      <c r="AY759" t="s">
        <v>74</v>
      </c>
      <c r="AZ759" t="s">
        <v>74</v>
      </c>
      <c r="BA759" t="s">
        <v>74</v>
      </c>
      <c r="BB759">
        <v>67</v>
      </c>
      <c r="BC759">
        <v>74</v>
      </c>
      <c r="BD759" t="s">
        <v>74</v>
      </c>
      <c r="BE759" t="s">
        <v>10254</v>
      </c>
      <c r="BF759" t="str">
        <f>HYPERLINK("http://dx.doi.org/10.1017/S0954102001000104","http://dx.doi.org/10.1017/S0954102001000104")</f>
        <v>http://dx.doi.org/10.1017/S0954102001000104</v>
      </c>
      <c r="BG759" t="s">
        <v>74</v>
      </c>
      <c r="BH759" t="s">
        <v>74</v>
      </c>
      <c r="BI759">
        <v>8</v>
      </c>
      <c r="BJ759" t="s">
        <v>3249</v>
      </c>
      <c r="BK759" t="s">
        <v>88</v>
      </c>
      <c r="BL759" t="s">
        <v>3250</v>
      </c>
      <c r="BM759" t="s">
        <v>10157</v>
      </c>
      <c r="BN759" t="s">
        <v>74</v>
      </c>
      <c r="BO759" t="s">
        <v>2390</v>
      </c>
      <c r="BP759" t="s">
        <v>74</v>
      </c>
      <c r="BQ759" t="s">
        <v>74</v>
      </c>
      <c r="BR759" t="s">
        <v>91</v>
      </c>
      <c r="BS759" t="s">
        <v>10255</v>
      </c>
      <c r="BT759" t="str">
        <f>HYPERLINK("https%3A%2F%2Fwww.webofscience.com%2Fwos%2Fwoscc%2Ffull-record%2FWOS:000168077200010","View Full Record in Web of Science")</f>
        <v>View Full Record in Web of Science</v>
      </c>
    </row>
    <row r="760" spans="1:72" x14ac:dyDescent="0.15">
      <c r="A760" t="s">
        <v>72</v>
      </c>
      <c r="B760" t="s">
        <v>10256</v>
      </c>
      <c r="C760" t="s">
        <v>74</v>
      </c>
      <c r="D760" t="s">
        <v>74</v>
      </c>
      <c r="E760" t="s">
        <v>74</v>
      </c>
      <c r="F760" t="s">
        <v>10256</v>
      </c>
      <c r="G760" t="s">
        <v>74</v>
      </c>
      <c r="H760" t="s">
        <v>74</v>
      </c>
      <c r="I760" t="s">
        <v>10257</v>
      </c>
      <c r="J760" t="s">
        <v>3241</v>
      </c>
      <c r="K760" t="s">
        <v>74</v>
      </c>
      <c r="L760" t="s">
        <v>74</v>
      </c>
      <c r="M760" t="s">
        <v>77</v>
      </c>
      <c r="N760" t="s">
        <v>120</v>
      </c>
      <c r="O760" t="s">
        <v>74</v>
      </c>
      <c r="P760" t="s">
        <v>74</v>
      </c>
      <c r="Q760" t="s">
        <v>74</v>
      </c>
      <c r="R760" t="s">
        <v>74</v>
      </c>
      <c r="S760" t="s">
        <v>74</v>
      </c>
      <c r="T760" t="s">
        <v>10258</v>
      </c>
      <c r="U760" t="s">
        <v>74</v>
      </c>
      <c r="V760" t="s">
        <v>10259</v>
      </c>
      <c r="W760" t="s">
        <v>10260</v>
      </c>
      <c r="X760" t="s">
        <v>10261</v>
      </c>
      <c r="Y760" t="s">
        <v>10262</v>
      </c>
      <c r="Z760" t="s">
        <v>74</v>
      </c>
      <c r="AA760" t="s">
        <v>10263</v>
      </c>
      <c r="AB760" t="s">
        <v>10264</v>
      </c>
      <c r="AC760" t="s">
        <v>74</v>
      </c>
      <c r="AD760" t="s">
        <v>74</v>
      </c>
      <c r="AE760" t="s">
        <v>74</v>
      </c>
      <c r="AF760" t="s">
        <v>74</v>
      </c>
      <c r="AG760">
        <v>9</v>
      </c>
      <c r="AH760">
        <v>1</v>
      </c>
      <c r="AI760">
        <v>2</v>
      </c>
      <c r="AJ760">
        <v>0</v>
      </c>
      <c r="AK760">
        <v>3</v>
      </c>
      <c r="AL760" t="s">
        <v>1293</v>
      </c>
      <c r="AM760" t="s">
        <v>3243</v>
      </c>
      <c r="AN760" t="s">
        <v>10156</v>
      </c>
      <c r="AO760" t="s">
        <v>3245</v>
      </c>
      <c r="AP760" t="s">
        <v>74</v>
      </c>
      <c r="AQ760" t="s">
        <v>74</v>
      </c>
      <c r="AR760" t="s">
        <v>3246</v>
      </c>
      <c r="AS760" t="s">
        <v>3247</v>
      </c>
      <c r="AT760" t="s">
        <v>10127</v>
      </c>
      <c r="AU760">
        <v>2001</v>
      </c>
      <c r="AV760">
        <v>13</v>
      </c>
      <c r="AW760">
        <v>1</v>
      </c>
      <c r="AX760" t="s">
        <v>74</v>
      </c>
      <c r="AY760" t="s">
        <v>74</v>
      </c>
      <c r="AZ760" t="s">
        <v>74</v>
      </c>
      <c r="BA760" t="s">
        <v>74</v>
      </c>
      <c r="BB760">
        <v>75</v>
      </c>
      <c r="BC760">
        <v>78</v>
      </c>
      <c r="BD760" t="s">
        <v>74</v>
      </c>
      <c r="BE760" t="s">
        <v>10265</v>
      </c>
      <c r="BF760" t="str">
        <f>HYPERLINK("http://dx.doi.org/10.1017/S0954102001000116","http://dx.doi.org/10.1017/S0954102001000116")</f>
        <v>http://dx.doi.org/10.1017/S0954102001000116</v>
      </c>
      <c r="BG760" t="s">
        <v>74</v>
      </c>
      <c r="BH760" t="s">
        <v>74</v>
      </c>
      <c r="BI760">
        <v>4</v>
      </c>
      <c r="BJ760" t="s">
        <v>3249</v>
      </c>
      <c r="BK760" t="s">
        <v>88</v>
      </c>
      <c r="BL760" t="s">
        <v>3250</v>
      </c>
      <c r="BM760" t="s">
        <v>10157</v>
      </c>
      <c r="BN760" t="s">
        <v>74</v>
      </c>
      <c r="BO760" t="s">
        <v>74</v>
      </c>
      <c r="BP760" t="s">
        <v>74</v>
      </c>
      <c r="BQ760" t="s">
        <v>74</v>
      </c>
      <c r="BR760" t="s">
        <v>91</v>
      </c>
      <c r="BS760" t="s">
        <v>10266</v>
      </c>
      <c r="BT760" t="str">
        <f>HYPERLINK("https%3A%2F%2Fwww.webofscience.com%2Fwos%2Fwoscc%2Ffull-record%2FWOS:000168077200011","View Full Record in Web of Science")</f>
        <v>View Full Record in Web of Science</v>
      </c>
    </row>
    <row r="761" spans="1:72" x14ac:dyDescent="0.15">
      <c r="A761" t="s">
        <v>72</v>
      </c>
      <c r="B761" t="s">
        <v>10267</v>
      </c>
      <c r="C761" t="s">
        <v>74</v>
      </c>
      <c r="D761" t="s">
        <v>74</v>
      </c>
      <c r="E761" t="s">
        <v>74</v>
      </c>
      <c r="F761" t="s">
        <v>10267</v>
      </c>
      <c r="G761" t="s">
        <v>74</v>
      </c>
      <c r="H761" t="s">
        <v>74</v>
      </c>
      <c r="I761" t="s">
        <v>10268</v>
      </c>
      <c r="J761" t="s">
        <v>3241</v>
      </c>
      <c r="K761" t="s">
        <v>74</v>
      </c>
      <c r="L761" t="s">
        <v>74</v>
      </c>
      <c r="M761" t="s">
        <v>77</v>
      </c>
      <c r="N761" t="s">
        <v>120</v>
      </c>
      <c r="O761" t="s">
        <v>74</v>
      </c>
      <c r="P761" t="s">
        <v>74</v>
      </c>
      <c r="Q761" t="s">
        <v>74</v>
      </c>
      <c r="R761" t="s">
        <v>74</v>
      </c>
      <c r="S761" t="s">
        <v>74</v>
      </c>
      <c r="T761" t="s">
        <v>10269</v>
      </c>
      <c r="U761" t="s">
        <v>10270</v>
      </c>
      <c r="V761" t="s">
        <v>10271</v>
      </c>
      <c r="W761" t="s">
        <v>10272</v>
      </c>
      <c r="X761" t="s">
        <v>10273</v>
      </c>
      <c r="Y761" t="s">
        <v>10274</v>
      </c>
      <c r="Z761" t="s">
        <v>74</v>
      </c>
      <c r="AA761" t="s">
        <v>74</v>
      </c>
      <c r="AB761" t="s">
        <v>74</v>
      </c>
      <c r="AC761" t="s">
        <v>74</v>
      </c>
      <c r="AD761" t="s">
        <v>74</v>
      </c>
      <c r="AE761" t="s">
        <v>74</v>
      </c>
      <c r="AF761" t="s">
        <v>74</v>
      </c>
      <c r="AG761">
        <v>34</v>
      </c>
      <c r="AH761">
        <v>35</v>
      </c>
      <c r="AI761">
        <v>42</v>
      </c>
      <c r="AJ761">
        <v>0</v>
      </c>
      <c r="AK761">
        <v>5</v>
      </c>
      <c r="AL761" t="s">
        <v>1293</v>
      </c>
      <c r="AM761" t="s">
        <v>204</v>
      </c>
      <c r="AN761" t="s">
        <v>1699</v>
      </c>
      <c r="AO761" t="s">
        <v>3245</v>
      </c>
      <c r="AP761" t="s">
        <v>3315</v>
      </c>
      <c r="AQ761" t="s">
        <v>74</v>
      </c>
      <c r="AR761" t="s">
        <v>3246</v>
      </c>
      <c r="AS761" t="s">
        <v>3247</v>
      </c>
      <c r="AT761" t="s">
        <v>10127</v>
      </c>
      <c r="AU761">
        <v>2001</v>
      </c>
      <c r="AV761">
        <v>13</v>
      </c>
      <c r="AW761">
        <v>1</v>
      </c>
      <c r="AX761" t="s">
        <v>74</v>
      </c>
      <c r="AY761" t="s">
        <v>74</v>
      </c>
      <c r="AZ761" t="s">
        <v>74</v>
      </c>
      <c r="BA761" t="s">
        <v>74</v>
      </c>
      <c r="BB761">
        <v>79</v>
      </c>
      <c r="BC761">
        <v>86</v>
      </c>
      <c r="BD761" t="s">
        <v>74</v>
      </c>
      <c r="BE761" t="s">
        <v>10275</v>
      </c>
      <c r="BF761" t="str">
        <f>HYPERLINK("http://dx.doi.org/10.1017/S0954102001000128","http://dx.doi.org/10.1017/S0954102001000128")</f>
        <v>http://dx.doi.org/10.1017/S0954102001000128</v>
      </c>
      <c r="BG761" t="s">
        <v>74</v>
      </c>
      <c r="BH761" t="s">
        <v>74</v>
      </c>
      <c r="BI761">
        <v>8</v>
      </c>
      <c r="BJ761" t="s">
        <v>3249</v>
      </c>
      <c r="BK761" t="s">
        <v>88</v>
      </c>
      <c r="BL761" t="s">
        <v>3250</v>
      </c>
      <c r="BM761" t="s">
        <v>10157</v>
      </c>
      <c r="BN761" t="s">
        <v>74</v>
      </c>
      <c r="BO761" t="s">
        <v>74</v>
      </c>
      <c r="BP761" t="s">
        <v>74</v>
      </c>
      <c r="BQ761" t="s">
        <v>74</v>
      </c>
      <c r="BR761" t="s">
        <v>91</v>
      </c>
      <c r="BS761" t="s">
        <v>10276</v>
      </c>
      <c r="BT761" t="str">
        <f>HYPERLINK("https%3A%2F%2Fwww.webofscience.com%2Fwos%2Fwoscc%2Ffull-record%2FWOS:000168077200012","View Full Record in Web of Science")</f>
        <v>View Full Record in Web of Science</v>
      </c>
    </row>
    <row r="762" spans="1:72" x14ac:dyDescent="0.15">
      <c r="A762" t="s">
        <v>72</v>
      </c>
      <c r="B762" t="s">
        <v>10277</v>
      </c>
      <c r="C762" t="s">
        <v>74</v>
      </c>
      <c r="D762" t="s">
        <v>74</v>
      </c>
      <c r="E762" t="s">
        <v>74</v>
      </c>
      <c r="F762" t="s">
        <v>10277</v>
      </c>
      <c r="G762" t="s">
        <v>74</v>
      </c>
      <c r="H762" t="s">
        <v>74</v>
      </c>
      <c r="I762" t="s">
        <v>10278</v>
      </c>
      <c r="J762" t="s">
        <v>3241</v>
      </c>
      <c r="K762" t="s">
        <v>74</v>
      </c>
      <c r="L762" t="s">
        <v>74</v>
      </c>
      <c r="M762" t="s">
        <v>77</v>
      </c>
      <c r="N762" t="s">
        <v>120</v>
      </c>
      <c r="O762" t="s">
        <v>74</v>
      </c>
      <c r="P762" t="s">
        <v>74</v>
      </c>
      <c r="Q762" t="s">
        <v>74</v>
      </c>
      <c r="R762" t="s">
        <v>74</v>
      </c>
      <c r="S762" t="s">
        <v>74</v>
      </c>
      <c r="T762" t="s">
        <v>74</v>
      </c>
      <c r="U762" t="s">
        <v>10279</v>
      </c>
      <c r="V762" t="s">
        <v>74</v>
      </c>
      <c r="W762" t="s">
        <v>461</v>
      </c>
      <c r="X762" t="s">
        <v>462</v>
      </c>
      <c r="Y762" t="s">
        <v>10280</v>
      </c>
      <c r="Z762" t="s">
        <v>74</v>
      </c>
      <c r="AA762" t="s">
        <v>74</v>
      </c>
      <c r="AB762" t="s">
        <v>74</v>
      </c>
      <c r="AC762" t="s">
        <v>74</v>
      </c>
      <c r="AD762" t="s">
        <v>74</v>
      </c>
      <c r="AE762" t="s">
        <v>74</v>
      </c>
      <c r="AF762" t="s">
        <v>74</v>
      </c>
      <c r="AG762">
        <v>5</v>
      </c>
      <c r="AH762">
        <v>4</v>
      </c>
      <c r="AI762">
        <v>4</v>
      </c>
      <c r="AJ762">
        <v>0</v>
      </c>
      <c r="AK762">
        <v>3</v>
      </c>
      <c r="AL762" t="s">
        <v>1293</v>
      </c>
      <c r="AM762" t="s">
        <v>3243</v>
      </c>
      <c r="AN762" t="s">
        <v>10156</v>
      </c>
      <c r="AO762" t="s">
        <v>3245</v>
      </c>
      <c r="AP762" t="s">
        <v>74</v>
      </c>
      <c r="AQ762" t="s">
        <v>74</v>
      </c>
      <c r="AR762" t="s">
        <v>3246</v>
      </c>
      <c r="AS762" t="s">
        <v>3247</v>
      </c>
      <c r="AT762" t="s">
        <v>10127</v>
      </c>
      <c r="AU762">
        <v>2001</v>
      </c>
      <c r="AV762">
        <v>13</v>
      </c>
      <c r="AW762">
        <v>1</v>
      </c>
      <c r="AX762" t="s">
        <v>74</v>
      </c>
      <c r="AY762" t="s">
        <v>74</v>
      </c>
      <c r="AZ762" t="s">
        <v>74</v>
      </c>
      <c r="BA762" t="s">
        <v>74</v>
      </c>
      <c r="BB762">
        <v>87</v>
      </c>
      <c r="BC762">
        <v>88</v>
      </c>
      <c r="BD762" t="s">
        <v>74</v>
      </c>
      <c r="BE762" t="s">
        <v>10281</v>
      </c>
      <c r="BF762" t="str">
        <f>HYPERLINK("http://dx.doi.org/10.1017/S095410200100013X","http://dx.doi.org/10.1017/S095410200100013X")</f>
        <v>http://dx.doi.org/10.1017/S095410200100013X</v>
      </c>
      <c r="BG762" t="s">
        <v>74</v>
      </c>
      <c r="BH762" t="s">
        <v>74</v>
      </c>
      <c r="BI762">
        <v>2</v>
      </c>
      <c r="BJ762" t="s">
        <v>3249</v>
      </c>
      <c r="BK762" t="s">
        <v>88</v>
      </c>
      <c r="BL762" t="s">
        <v>3250</v>
      </c>
      <c r="BM762" t="s">
        <v>10157</v>
      </c>
      <c r="BN762" t="s">
        <v>74</v>
      </c>
      <c r="BO762" t="s">
        <v>2390</v>
      </c>
      <c r="BP762" t="s">
        <v>74</v>
      </c>
      <c r="BQ762" t="s">
        <v>74</v>
      </c>
      <c r="BR762" t="s">
        <v>91</v>
      </c>
      <c r="BS762" t="s">
        <v>10282</v>
      </c>
      <c r="BT762" t="str">
        <f>HYPERLINK("https%3A%2F%2Fwww.webofscience.com%2Fwos%2Fwoscc%2Ffull-record%2FWOS:000168077200013","View Full Record in Web of Science")</f>
        <v>View Full Record in Web of Science</v>
      </c>
    </row>
    <row r="763" spans="1:72" x14ac:dyDescent="0.15">
      <c r="A763" t="s">
        <v>72</v>
      </c>
      <c r="B763" t="s">
        <v>10283</v>
      </c>
      <c r="C763" t="s">
        <v>74</v>
      </c>
      <c r="D763" t="s">
        <v>74</v>
      </c>
      <c r="E763" t="s">
        <v>74</v>
      </c>
      <c r="F763" t="s">
        <v>10283</v>
      </c>
      <c r="G763" t="s">
        <v>74</v>
      </c>
      <c r="H763" t="s">
        <v>74</v>
      </c>
      <c r="I763" t="s">
        <v>10284</v>
      </c>
      <c r="J763" t="s">
        <v>10285</v>
      </c>
      <c r="K763" t="s">
        <v>74</v>
      </c>
      <c r="L763" t="s">
        <v>74</v>
      </c>
      <c r="M763" t="s">
        <v>77</v>
      </c>
      <c r="N763" t="s">
        <v>120</v>
      </c>
      <c r="O763" t="s">
        <v>74</v>
      </c>
      <c r="P763" t="s">
        <v>74</v>
      </c>
      <c r="Q763" t="s">
        <v>74</v>
      </c>
      <c r="R763" t="s">
        <v>74</v>
      </c>
      <c r="S763" t="s">
        <v>74</v>
      </c>
      <c r="T763" t="s">
        <v>10286</v>
      </c>
      <c r="U763" t="s">
        <v>10287</v>
      </c>
      <c r="V763" t="s">
        <v>10288</v>
      </c>
      <c r="W763" t="s">
        <v>10289</v>
      </c>
      <c r="X763" t="s">
        <v>10290</v>
      </c>
      <c r="Y763" t="s">
        <v>10291</v>
      </c>
      <c r="Z763" t="s">
        <v>10292</v>
      </c>
      <c r="AA763" t="s">
        <v>10293</v>
      </c>
      <c r="AB763" t="s">
        <v>10294</v>
      </c>
      <c r="AC763" t="s">
        <v>74</v>
      </c>
      <c r="AD763" t="s">
        <v>74</v>
      </c>
      <c r="AE763" t="s">
        <v>74</v>
      </c>
      <c r="AF763" t="s">
        <v>74</v>
      </c>
      <c r="AG763">
        <v>49</v>
      </c>
      <c r="AH763">
        <v>23</v>
      </c>
      <c r="AI763">
        <v>25</v>
      </c>
      <c r="AJ763">
        <v>0</v>
      </c>
      <c r="AK763">
        <v>13</v>
      </c>
      <c r="AL763" t="s">
        <v>10295</v>
      </c>
      <c r="AM763" t="s">
        <v>683</v>
      </c>
      <c r="AN763" t="s">
        <v>10296</v>
      </c>
      <c r="AO763" t="s">
        <v>10297</v>
      </c>
      <c r="AP763" t="s">
        <v>10298</v>
      </c>
      <c r="AQ763" t="s">
        <v>74</v>
      </c>
      <c r="AR763" t="s">
        <v>10299</v>
      </c>
      <c r="AS763" t="s">
        <v>10300</v>
      </c>
      <c r="AT763" t="s">
        <v>10301</v>
      </c>
      <c r="AU763">
        <v>2001</v>
      </c>
      <c r="AV763">
        <v>354</v>
      </c>
      <c r="AW763" t="s">
        <v>74</v>
      </c>
      <c r="AX763">
        <v>2</v>
      </c>
      <c r="AY763" t="s">
        <v>74</v>
      </c>
      <c r="AZ763" t="s">
        <v>74</v>
      </c>
      <c r="BA763" t="s">
        <v>74</v>
      </c>
      <c r="BB763">
        <v>291</v>
      </c>
      <c r="BC763">
        <v>299</v>
      </c>
      <c r="BD763" t="s">
        <v>74</v>
      </c>
      <c r="BE763" t="s">
        <v>10302</v>
      </c>
      <c r="BF763" t="str">
        <f>HYPERLINK("http://dx.doi.org/10.1042/0264-6021:3540291","http://dx.doi.org/10.1042/0264-6021:3540291")</f>
        <v>http://dx.doi.org/10.1042/0264-6021:3540291</v>
      </c>
      <c r="BG763" t="s">
        <v>74</v>
      </c>
      <c r="BH763" t="s">
        <v>74</v>
      </c>
      <c r="BI763">
        <v>9</v>
      </c>
      <c r="BJ763" t="s">
        <v>2248</v>
      </c>
      <c r="BK763" t="s">
        <v>88</v>
      </c>
      <c r="BL763" t="s">
        <v>2248</v>
      </c>
      <c r="BM763" t="s">
        <v>10303</v>
      </c>
      <c r="BN763">
        <v>11171106</v>
      </c>
      <c r="BO763" t="s">
        <v>761</v>
      </c>
      <c r="BP763" t="s">
        <v>74</v>
      </c>
      <c r="BQ763" t="s">
        <v>74</v>
      </c>
      <c r="BR763" t="s">
        <v>91</v>
      </c>
      <c r="BS763" t="s">
        <v>10304</v>
      </c>
      <c r="BT763" t="str">
        <f>HYPERLINK("https%3A%2F%2Fwww.webofscience.com%2Fwos%2Fwoscc%2Ffull-record%2FWOS:000167483700008","View Full Record in Web of Science")</f>
        <v>View Full Record in Web of Science</v>
      </c>
    </row>
    <row r="764" spans="1:72" x14ac:dyDescent="0.15">
      <c r="A764" t="s">
        <v>72</v>
      </c>
      <c r="B764" t="s">
        <v>7374</v>
      </c>
      <c r="C764" t="s">
        <v>74</v>
      </c>
      <c r="D764" t="s">
        <v>74</v>
      </c>
      <c r="E764" t="s">
        <v>74</v>
      </c>
      <c r="F764" t="s">
        <v>7374</v>
      </c>
      <c r="G764" t="s">
        <v>74</v>
      </c>
      <c r="H764" t="s">
        <v>74</v>
      </c>
      <c r="I764" t="s">
        <v>10305</v>
      </c>
      <c r="J764" t="s">
        <v>10306</v>
      </c>
      <c r="K764" t="s">
        <v>74</v>
      </c>
      <c r="L764" t="s">
        <v>74</v>
      </c>
      <c r="M764" t="s">
        <v>77</v>
      </c>
      <c r="N764" t="s">
        <v>120</v>
      </c>
      <c r="O764" t="s">
        <v>74</v>
      </c>
      <c r="P764" t="s">
        <v>74</v>
      </c>
      <c r="Q764" t="s">
        <v>74</v>
      </c>
      <c r="R764" t="s">
        <v>74</v>
      </c>
      <c r="S764" t="s">
        <v>74</v>
      </c>
      <c r="T764" t="s">
        <v>74</v>
      </c>
      <c r="U764" t="s">
        <v>10307</v>
      </c>
      <c r="V764" t="s">
        <v>10308</v>
      </c>
      <c r="W764" t="s">
        <v>10309</v>
      </c>
      <c r="X764" t="s">
        <v>10310</v>
      </c>
      <c r="Y764" t="s">
        <v>10311</v>
      </c>
      <c r="Z764" t="s">
        <v>74</v>
      </c>
      <c r="AA764" t="s">
        <v>10312</v>
      </c>
      <c r="AB764" t="s">
        <v>10313</v>
      </c>
      <c r="AC764" t="s">
        <v>74</v>
      </c>
      <c r="AD764" t="s">
        <v>74</v>
      </c>
      <c r="AE764" t="s">
        <v>74</v>
      </c>
      <c r="AF764" t="s">
        <v>74</v>
      </c>
      <c r="AG764">
        <v>37</v>
      </c>
      <c r="AH764">
        <v>21</v>
      </c>
      <c r="AI764">
        <v>21</v>
      </c>
      <c r="AJ764">
        <v>0</v>
      </c>
      <c r="AK764">
        <v>4</v>
      </c>
      <c r="AL764" t="s">
        <v>248</v>
      </c>
      <c r="AM764" t="s">
        <v>204</v>
      </c>
      <c r="AN764" t="s">
        <v>249</v>
      </c>
      <c r="AO764" t="s">
        <v>10314</v>
      </c>
      <c r="AP764" t="s">
        <v>10315</v>
      </c>
      <c r="AQ764" t="s">
        <v>74</v>
      </c>
      <c r="AR764" t="s">
        <v>10316</v>
      </c>
      <c r="AS764" t="s">
        <v>10317</v>
      </c>
      <c r="AT764" t="s">
        <v>10127</v>
      </c>
      <c r="AU764">
        <v>2001</v>
      </c>
      <c r="AV764">
        <v>31</v>
      </c>
      <c r="AW764">
        <v>1</v>
      </c>
      <c r="AX764" t="s">
        <v>74</v>
      </c>
      <c r="AY764" t="s">
        <v>74</v>
      </c>
      <c r="AZ764" t="s">
        <v>74</v>
      </c>
      <c r="BA764" t="s">
        <v>74</v>
      </c>
      <c r="BB764">
        <v>102</v>
      </c>
      <c r="BC764">
        <v>108</v>
      </c>
      <c r="BD764" t="s">
        <v>74</v>
      </c>
      <c r="BE764" t="s">
        <v>10318</v>
      </c>
      <c r="BF764" t="str">
        <f>HYPERLINK("http://dx.doi.org/10.1590/S0103-97332001000100018","http://dx.doi.org/10.1590/S0103-97332001000100018")</f>
        <v>http://dx.doi.org/10.1590/S0103-97332001000100018</v>
      </c>
      <c r="BG764" t="s">
        <v>74</v>
      </c>
      <c r="BH764" t="s">
        <v>74</v>
      </c>
      <c r="BI764">
        <v>7</v>
      </c>
      <c r="BJ764" t="s">
        <v>7007</v>
      </c>
      <c r="BK764" t="s">
        <v>88</v>
      </c>
      <c r="BL764" t="s">
        <v>2453</v>
      </c>
      <c r="BM764" t="s">
        <v>10319</v>
      </c>
      <c r="BN764" t="s">
        <v>74</v>
      </c>
      <c r="BO764" t="s">
        <v>325</v>
      </c>
      <c r="BP764" t="s">
        <v>74</v>
      </c>
      <c r="BQ764" t="s">
        <v>74</v>
      </c>
      <c r="BR764" t="s">
        <v>91</v>
      </c>
      <c r="BS764" t="s">
        <v>10320</v>
      </c>
      <c r="BT764" t="str">
        <f>HYPERLINK("https%3A%2F%2Fwww.webofscience.com%2Fwos%2Fwoscc%2Ffull-record%2FWOS:000167900000018","View Full Record in Web of Science")</f>
        <v>View Full Record in Web of Science</v>
      </c>
    </row>
    <row r="765" spans="1:72" x14ac:dyDescent="0.15">
      <c r="A765" t="s">
        <v>72</v>
      </c>
      <c r="B765" t="s">
        <v>10321</v>
      </c>
      <c r="C765" t="s">
        <v>74</v>
      </c>
      <c r="D765" t="s">
        <v>74</v>
      </c>
      <c r="E765" t="s">
        <v>74</v>
      </c>
      <c r="F765" t="s">
        <v>10321</v>
      </c>
      <c r="G765" t="s">
        <v>74</v>
      </c>
      <c r="H765" t="s">
        <v>74</v>
      </c>
      <c r="I765" t="s">
        <v>10322</v>
      </c>
      <c r="J765" t="s">
        <v>10323</v>
      </c>
      <c r="K765" t="s">
        <v>74</v>
      </c>
      <c r="L765" t="s">
        <v>74</v>
      </c>
      <c r="M765" t="s">
        <v>77</v>
      </c>
      <c r="N765" t="s">
        <v>120</v>
      </c>
      <c r="O765" t="s">
        <v>74</v>
      </c>
      <c r="P765" t="s">
        <v>74</v>
      </c>
      <c r="Q765" t="s">
        <v>74</v>
      </c>
      <c r="R765" t="s">
        <v>74</v>
      </c>
      <c r="S765" t="s">
        <v>74</v>
      </c>
      <c r="T765" t="s">
        <v>10324</v>
      </c>
      <c r="U765" t="s">
        <v>10325</v>
      </c>
      <c r="V765" t="s">
        <v>10326</v>
      </c>
      <c r="W765" t="s">
        <v>10327</v>
      </c>
      <c r="X765" t="s">
        <v>10328</v>
      </c>
      <c r="Y765" t="s">
        <v>10329</v>
      </c>
      <c r="Z765" t="s">
        <v>74</v>
      </c>
      <c r="AA765" t="s">
        <v>74</v>
      </c>
      <c r="AB765" t="s">
        <v>74</v>
      </c>
      <c r="AC765" t="s">
        <v>74</v>
      </c>
      <c r="AD765" t="s">
        <v>74</v>
      </c>
      <c r="AE765" t="s">
        <v>74</v>
      </c>
      <c r="AF765" t="s">
        <v>74</v>
      </c>
      <c r="AG765">
        <v>41</v>
      </c>
      <c r="AH765">
        <v>26</v>
      </c>
      <c r="AI765">
        <v>32</v>
      </c>
      <c r="AJ765">
        <v>0</v>
      </c>
      <c r="AK765">
        <v>8</v>
      </c>
      <c r="AL765" t="s">
        <v>6928</v>
      </c>
      <c r="AM765" t="s">
        <v>5802</v>
      </c>
      <c r="AN765" t="s">
        <v>6929</v>
      </c>
      <c r="AO765" t="s">
        <v>10330</v>
      </c>
      <c r="AP765" t="s">
        <v>74</v>
      </c>
      <c r="AQ765" t="s">
        <v>74</v>
      </c>
      <c r="AR765" t="s">
        <v>10331</v>
      </c>
      <c r="AS765" t="s">
        <v>10332</v>
      </c>
      <c r="AT765" t="s">
        <v>10127</v>
      </c>
      <c r="AU765">
        <v>2001</v>
      </c>
      <c r="AV765">
        <v>47</v>
      </c>
      <c r="AW765">
        <v>3</v>
      </c>
      <c r="AX765" t="s">
        <v>74</v>
      </c>
      <c r="AY765" t="s">
        <v>74</v>
      </c>
      <c r="AZ765" t="s">
        <v>74</v>
      </c>
      <c r="BA765" t="s">
        <v>74</v>
      </c>
      <c r="BB765">
        <v>194</v>
      </c>
      <c r="BC765">
        <v>205</v>
      </c>
      <c r="BD765" t="s">
        <v>74</v>
      </c>
      <c r="BE765" t="s">
        <v>10333</v>
      </c>
      <c r="BF765" t="str">
        <f>HYPERLINK("http://dx.doi.org/10.1139/cjm-47-3-194","http://dx.doi.org/10.1139/cjm-47-3-194")</f>
        <v>http://dx.doi.org/10.1139/cjm-47-3-194</v>
      </c>
      <c r="BG765" t="s">
        <v>74</v>
      </c>
      <c r="BH765" t="s">
        <v>74</v>
      </c>
      <c r="BI765">
        <v>12</v>
      </c>
      <c r="BJ765" t="s">
        <v>10334</v>
      </c>
      <c r="BK765" t="s">
        <v>88</v>
      </c>
      <c r="BL765" t="s">
        <v>10334</v>
      </c>
      <c r="BM765" t="s">
        <v>10335</v>
      </c>
      <c r="BN765">
        <v>11315110</v>
      </c>
      <c r="BO765" t="s">
        <v>74</v>
      </c>
      <c r="BP765" t="s">
        <v>74</v>
      </c>
      <c r="BQ765" t="s">
        <v>74</v>
      </c>
      <c r="BR765" t="s">
        <v>91</v>
      </c>
      <c r="BS765" t="s">
        <v>10336</v>
      </c>
      <c r="BT765" t="str">
        <f>HYPERLINK("https%3A%2F%2Fwww.webofscience.com%2Fwos%2Fwoscc%2Ffull-record%2FWOS:000167873900003","View Full Record in Web of Science")</f>
        <v>View Full Record in Web of Science</v>
      </c>
    </row>
    <row r="766" spans="1:72" x14ac:dyDescent="0.15">
      <c r="A766" t="s">
        <v>72</v>
      </c>
      <c r="B766" t="s">
        <v>10337</v>
      </c>
      <c r="C766" t="s">
        <v>74</v>
      </c>
      <c r="D766" t="s">
        <v>74</v>
      </c>
      <c r="E766" t="s">
        <v>74</v>
      </c>
      <c r="F766" t="s">
        <v>10337</v>
      </c>
      <c r="G766" t="s">
        <v>74</v>
      </c>
      <c r="H766" t="s">
        <v>74</v>
      </c>
      <c r="I766" t="s">
        <v>10338</v>
      </c>
      <c r="J766" t="s">
        <v>2121</v>
      </c>
      <c r="K766" t="s">
        <v>74</v>
      </c>
      <c r="L766" t="s">
        <v>74</v>
      </c>
      <c r="M766" t="s">
        <v>77</v>
      </c>
      <c r="N766" t="s">
        <v>120</v>
      </c>
      <c r="O766" t="s">
        <v>74</v>
      </c>
      <c r="P766" t="s">
        <v>74</v>
      </c>
      <c r="Q766" t="s">
        <v>74</v>
      </c>
      <c r="R766" t="s">
        <v>74</v>
      </c>
      <c r="S766" t="s">
        <v>74</v>
      </c>
      <c r="T766" t="s">
        <v>10339</v>
      </c>
      <c r="U766" t="s">
        <v>10340</v>
      </c>
      <c r="V766" t="s">
        <v>10341</v>
      </c>
      <c r="W766" t="s">
        <v>10342</v>
      </c>
      <c r="X766" t="s">
        <v>10343</v>
      </c>
      <c r="Y766" t="s">
        <v>10344</v>
      </c>
      <c r="Z766" t="s">
        <v>10345</v>
      </c>
      <c r="AA766" t="s">
        <v>74</v>
      </c>
      <c r="AB766" t="s">
        <v>74</v>
      </c>
      <c r="AC766" t="s">
        <v>74</v>
      </c>
      <c r="AD766" t="s">
        <v>74</v>
      </c>
      <c r="AE766" t="s">
        <v>74</v>
      </c>
      <c r="AF766" t="s">
        <v>74</v>
      </c>
      <c r="AG766">
        <v>30</v>
      </c>
      <c r="AH766">
        <v>41</v>
      </c>
      <c r="AI766">
        <v>41</v>
      </c>
      <c r="AJ766">
        <v>3</v>
      </c>
      <c r="AK766">
        <v>15</v>
      </c>
      <c r="AL766" t="s">
        <v>488</v>
      </c>
      <c r="AM766" t="s">
        <v>350</v>
      </c>
      <c r="AN766" t="s">
        <v>489</v>
      </c>
      <c r="AO766" t="s">
        <v>2130</v>
      </c>
      <c r="AP766" t="s">
        <v>10346</v>
      </c>
      <c r="AQ766" t="s">
        <v>74</v>
      </c>
      <c r="AR766" t="s">
        <v>2131</v>
      </c>
      <c r="AS766" t="s">
        <v>2132</v>
      </c>
      <c r="AT766" t="s">
        <v>10127</v>
      </c>
      <c r="AU766">
        <v>2001</v>
      </c>
      <c r="AV766">
        <v>32</v>
      </c>
      <c r="AW766">
        <v>1</v>
      </c>
      <c r="AX766" t="s">
        <v>74</v>
      </c>
      <c r="AY766" t="s">
        <v>74</v>
      </c>
      <c r="AZ766" t="s">
        <v>74</v>
      </c>
      <c r="BA766" t="s">
        <v>74</v>
      </c>
      <c r="BB766">
        <v>13</v>
      </c>
      <c r="BC766">
        <v>26</v>
      </c>
      <c r="BD766" t="s">
        <v>74</v>
      </c>
      <c r="BE766" t="s">
        <v>10347</v>
      </c>
      <c r="BF766" t="str">
        <f>HYPERLINK("http://dx.doi.org/10.1016/S0165-232X(01)00019-2","http://dx.doi.org/10.1016/S0165-232X(01)00019-2")</f>
        <v>http://dx.doi.org/10.1016/S0165-232X(01)00019-2</v>
      </c>
      <c r="BG766" t="s">
        <v>74</v>
      </c>
      <c r="BH766" t="s">
        <v>74</v>
      </c>
      <c r="BI766">
        <v>14</v>
      </c>
      <c r="BJ766" t="s">
        <v>2134</v>
      </c>
      <c r="BK766" t="s">
        <v>88</v>
      </c>
      <c r="BL766" t="s">
        <v>2135</v>
      </c>
      <c r="BM766" t="s">
        <v>10348</v>
      </c>
      <c r="BN766" t="s">
        <v>74</v>
      </c>
      <c r="BO766" t="s">
        <v>74</v>
      </c>
      <c r="BP766" t="s">
        <v>74</v>
      </c>
      <c r="BQ766" t="s">
        <v>74</v>
      </c>
      <c r="BR766" t="s">
        <v>91</v>
      </c>
      <c r="BS766" t="s">
        <v>10349</v>
      </c>
      <c r="BT766" t="str">
        <f>HYPERLINK("https%3A%2F%2Fwww.webofscience.com%2Fwos%2Fwoscc%2Ffull-record%2FWOS:000168187500002","View Full Record in Web of Science")</f>
        <v>View Full Record in Web of Science</v>
      </c>
    </row>
    <row r="767" spans="1:72" x14ac:dyDescent="0.15">
      <c r="A767" t="s">
        <v>72</v>
      </c>
      <c r="B767" t="s">
        <v>10350</v>
      </c>
      <c r="C767" t="s">
        <v>74</v>
      </c>
      <c r="D767" t="s">
        <v>74</v>
      </c>
      <c r="E767" t="s">
        <v>74</v>
      </c>
      <c r="F767" t="s">
        <v>10350</v>
      </c>
      <c r="G767" t="s">
        <v>74</v>
      </c>
      <c r="H767" t="s">
        <v>74</v>
      </c>
      <c r="I767" t="s">
        <v>10351</v>
      </c>
      <c r="J767" t="s">
        <v>2121</v>
      </c>
      <c r="K767" t="s">
        <v>74</v>
      </c>
      <c r="L767" t="s">
        <v>74</v>
      </c>
      <c r="M767" t="s">
        <v>77</v>
      </c>
      <c r="N767" t="s">
        <v>120</v>
      </c>
      <c r="O767" t="s">
        <v>74</v>
      </c>
      <c r="P767" t="s">
        <v>74</v>
      </c>
      <c r="Q767" t="s">
        <v>74</v>
      </c>
      <c r="R767" t="s">
        <v>74</v>
      </c>
      <c r="S767" t="s">
        <v>74</v>
      </c>
      <c r="T767" t="s">
        <v>10352</v>
      </c>
      <c r="U767" t="s">
        <v>74</v>
      </c>
      <c r="V767" t="s">
        <v>10353</v>
      </c>
      <c r="W767" t="s">
        <v>10354</v>
      </c>
      <c r="X767" t="s">
        <v>10355</v>
      </c>
      <c r="Y767" t="s">
        <v>10356</v>
      </c>
      <c r="Z767" t="s">
        <v>10357</v>
      </c>
      <c r="AA767" t="s">
        <v>10358</v>
      </c>
      <c r="AB767" t="s">
        <v>10359</v>
      </c>
      <c r="AC767" t="s">
        <v>74</v>
      </c>
      <c r="AD767" t="s">
        <v>74</v>
      </c>
      <c r="AE767" t="s">
        <v>74</v>
      </c>
      <c r="AF767" t="s">
        <v>74</v>
      </c>
      <c r="AG767">
        <v>16</v>
      </c>
      <c r="AH767">
        <v>0</v>
      </c>
      <c r="AI767">
        <v>0</v>
      </c>
      <c r="AJ767">
        <v>0</v>
      </c>
      <c r="AK767">
        <v>0</v>
      </c>
      <c r="AL767" t="s">
        <v>488</v>
      </c>
      <c r="AM767" t="s">
        <v>350</v>
      </c>
      <c r="AN767" t="s">
        <v>489</v>
      </c>
      <c r="AO767" t="s">
        <v>2130</v>
      </c>
      <c r="AP767" t="s">
        <v>10346</v>
      </c>
      <c r="AQ767" t="s">
        <v>74</v>
      </c>
      <c r="AR767" t="s">
        <v>2131</v>
      </c>
      <c r="AS767" t="s">
        <v>2132</v>
      </c>
      <c r="AT767" t="s">
        <v>10127</v>
      </c>
      <c r="AU767">
        <v>2001</v>
      </c>
      <c r="AV767">
        <v>32</v>
      </c>
      <c r="AW767">
        <v>1</v>
      </c>
      <c r="AX767" t="s">
        <v>74</v>
      </c>
      <c r="AY767" t="s">
        <v>74</v>
      </c>
      <c r="AZ767" t="s">
        <v>74</v>
      </c>
      <c r="BA767" t="s">
        <v>74</v>
      </c>
      <c r="BB767">
        <v>45</v>
      </c>
      <c r="BC767">
        <v>62</v>
      </c>
      <c r="BD767" t="s">
        <v>74</v>
      </c>
      <c r="BE767" t="s">
        <v>10360</v>
      </c>
      <c r="BF767" t="str">
        <f>HYPERLINK("http://dx.doi.org/10.1016/S0165-232X(00)00019-7","http://dx.doi.org/10.1016/S0165-232X(00)00019-7")</f>
        <v>http://dx.doi.org/10.1016/S0165-232X(00)00019-7</v>
      </c>
      <c r="BG767" t="s">
        <v>74</v>
      </c>
      <c r="BH767" t="s">
        <v>74</v>
      </c>
      <c r="BI767">
        <v>18</v>
      </c>
      <c r="BJ767" t="s">
        <v>2134</v>
      </c>
      <c r="BK767" t="s">
        <v>88</v>
      </c>
      <c r="BL767" t="s">
        <v>2135</v>
      </c>
      <c r="BM767" t="s">
        <v>10348</v>
      </c>
      <c r="BN767" t="s">
        <v>74</v>
      </c>
      <c r="BO767" t="s">
        <v>74</v>
      </c>
      <c r="BP767" t="s">
        <v>74</v>
      </c>
      <c r="BQ767" t="s">
        <v>74</v>
      </c>
      <c r="BR767" t="s">
        <v>91</v>
      </c>
      <c r="BS767" t="s">
        <v>10361</v>
      </c>
      <c r="BT767" t="str">
        <f>HYPERLINK("https%3A%2F%2Fwww.webofscience.com%2Fwos%2Fwoscc%2Ffull-record%2FWOS:000168187500004","View Full Record in Web of Science")</f>
        <v>View Full Record in Web of Science</v>
      </c>
    </row>
    <row r="768" spans="1:72" x14ac:dyDescent="0.15">
      <c r="A768" t="s">
        <v>72</v>
      </c>
      <c r="B768" t="s">
        <v>10362</v>
      </c>
      <c r="C768" t="s">
        <v>74</v>
      </c>
      <c r="D768" t="s">
        <v>74</v>
      </c>
      <c r="E768" t="s">
        <v>74</v>
      </c>
      <c r="F768" t="s">
        <v>10362</v>
      </c>
      <c r="G768" t="s">
        <v>74</v>
      </c>
      <c r="H768" t="s">
        <v>74</v>
      </c>
      <c r="I768" t="s">
        <v>10363</v>
      </c>
      <c r="J768" t="s">
        <v>5829</v>
      </c>
      <c r="K768" t="s">
        <v>74</v>
      </c>
      <c r="L768" t="s">
        <v>74</v>
      </c>
      <c r="M768" t="s">
        <v>77</v>
      </c>
      <c r="N768" t="s">
        <v>435</v>
      </c>
      <c r="O768" t="s">
        <v>10364</v>
      </c>
      <c r="P768" t="s">
        <v>10365</v>
      </c>
      <c r="Q768" t="s">
        <v>10366</v>
      </c>
      <c r="R768" t="s">
        <v>74</v>
      </c>
      <c r="S768" t="s">
        <v>74</v>
      </c>
      <c r="T768" t="s">
        <v>10367</v>
      </c>
      <c r="U768" t="s">
        <v>10368</v>
      </c>
      <c r="V768" t="s">
        <v>10369</v>
      </c>
      <c r="W768" t="s">
        <v>10370</v>
      </c>
      <c r="X768" t="s">
        <v>10371</v>
      </c>
      <c r="Y768" t="s">
        <v>10372</v>
      </c>
      <c r="Z768" t="s">
        <v>10373</v>
      </c>
      <c r="AA768" t="s">
        <v>10374</v>
      </c>
      <c r="AB768" t="s">
        <v>74</v>
      </c>
      <c r="AC768" t="s">
        <v>74</v>
      </c>
      <c r="AD768" t="s">
        <v>74</v>
      </c>
      <c r="AE768" t="s">
        <v>74</v>
      </c>
      <c r="AF768" t="s">
        <v>74</v>
      </c>
      <c r="AG768">
        <v>57</v>
      </c>
      <c r="AH768">
        <v>77</v>
      </c>
      <c r="AI768">
        <v>86</v>
      </c>
      <c r="AJ768">
        <v>0</v>
      </c>
      <c r="AK768">
        <v>37</v>
      </c>
      <c r="AL768" t="s">
        <v>4847</v>
      </c>
      <c r="AM768" t="s">
        <v>204</v>
      </c>
      <c r="AN768" t="s">
        <v>10375</v>
      </c>
      <c r="AO768" t="s">
        <v>4849</v>
      </c>
      <c r="AP768" t="s">
        <v>74</v>
      </c>
      <c r="AQ768" t="s">
        <v>74</v>
      </c>
      <c r="AR768" t="s">
        <v>4850</v>
      </c>
      <c r="AS768" t="s">
        <v>4851</v>
      </c>
      <c r="AT768" t="s">
        <v>10127</v>
      </c>
      <c r="AU768">
        <v>2001</v>
      </c>
      <c r="AV768">
        <v>128</v>
      </c>
      <c r="AW768">
        <v>3</v>
      </c>
      <c r="AX768" t="s">
        <v>74</v>
      </c>
      <c r="AY768" t="s">
        <v>74</v>
      </c>
      <c r="AZ768" t="s">
        <v>74</v>
      </c>
      <c r="BA768" t="s">
        <v>74</v>
      </c>
      <c r="BB768">
        <v>595</v>
      </c>
      <c r="BC768">
        <v>606</v>
      </c>
      <c r="BD768" t="s">
        <v>74</v>
      </c>
      <c r="BE768" t="s">
        <v>74</v>
      </c>
      <c r="BF768" t="s">
        <v>74</v>
      </c>
      <c r="BG768" t="s">
        <v>74</v>
      </c>
      <c r="BH768" t="s">
        <v>74</v>
      </c>
      <c r="BI768">
        <v>12</v>
      </c>
      <c r="BJ768" t="s">
        <v>4853</v>
      </c>
      <c r="BK768" t="s">
        <v>816</v>
      </c>
      <c r="BL768" t="s">
        <v>4853</v>
      </c>
      <c r="BM768" t="s">
        <v>10376</v>
      </c>
      <c r="BN768">
        <v>11246047</v>
      </c>
      <c r="BO768" t="s">
        <v>74</v>
      </c>
      <c r="BP768" t="s">
        <v>74</v>
      </c>
      <c r="BQ768" t="s">
        <v>74</v>
      </c>
      <c r="BR768" t="s">
        <v>91</v>
      </c>
      <c r="BS768" t="s">
        <v>10377</v>
      </c>
      <c r="BT768" t="str">
        <f>HYPERLINK("https%3A%2F%2Fwww.webofscience.com%2Fwos%2Fwoscc%2Ffull-record%2FWOS:000167568300013","View Full Record in Web of Science")</f>
        <v>View Full Record in Web of Science</v>
      </c>
    </row>
    <row r="769" spans="1:72" x14ac:dyDescent="0.15">
      <c r="A769" t="s">
        <v>72</v>
      </c>
      <c r="B769" t="s">
        <v>10378</v>
      </c>
      <c r="C769" t="s">
        <v>74</v>
      </c>
      <c r="D769" t="s">
        <v>74</v>
      </c>
      <c r="E769" t="s">
        <v>74</v>
      </c>
      <c r="F769" t="s">
        <v>10378</v>
      </c>
      <c r="G769" t="s">
        <v>74</v>
      </c>
      <c r="H769" t="s">
        <v>74</v>
      </c>
      <c r="I769" t="s">
        <v>10379</v>
      </c>
      <c r="J769" t="s">
        <v>10380</v>
      </c>
      <c r="K769" t="s">
        <v>74</v>
      </c>
      <c r="L769" t="s">
        <v>74</v>
      </c>
      <c r="M769" t="s">
        <v>77</v>
      </c>
      <c r="N769" t="s">
        <v>120</v>
      </c>
      <c r="O769" t="s">
        <v>74</v>
      </c>
      <c r="P769" t="s">
        <v>74</v>
      </c>
      <c r="Q769" t="s">
        <v>74</v>
      </c>
      <c r="R769" t="s">
        <v>74</v>
      </c>
      <c r="S769" t="s">
        <v>74</v>
      </c>
      <c r="T769" t="s">
        <v>10381</v>
      </c>
      <c r="U769" t="s">
        <v>10382</v>
      </c>
      <c r="V769" t="s">
        <v>10383</v>
      </c>
      <c r="W769" t="s">
        <v>10384</v>
      </c>
      <c r="X769" t="s">
        <v>10385</v>
      </c>
      <c r="Y769" t="s">
        <v>10386</v>
      </c>
      <c r="Z769" t="s">
        <v>10387</v>
      </c>
      <c r="AA769" t="s">
        <v>10388</v>
      </c>
      <c r="AB769" t="s">
        <v>10389</v>
      </c>
      <c r="AC769" t="s">
        <v>74</v>
      </c>
      <c r="AD769" t="s">
        <v>74</v>
      </c>
      <c r="AE769" t="s">
        <v>74</v>
      </c>
      <c r="AF769" t="s">
        <v>74</v>
      </c>
      <c r="AG769">
        <v>49</v>
      </c>
      <c r="AH769">
        <v>22</v>
      </c>
      <c r="AI769">
        <v>25</v>
      </c>
      <c r="AJ769">
        <v>1</v>
      </c>
      <c r="AK769">
        <v>17</v>
      </c>
      <c r="AL769" t="s">
        <v>4847</v>
      </c>
      <c r="AM769" t="s">
        <v>204</v>
      </c>
      <c r="AN769" t="s">
        <v>10375</v>
      </c>
      <c r="AO769" t="s">
        <v>10390</v>
      </c>
      <c r="AP769" t="s">
        <v>10391</v>
      </c>
      <c r="AQ769" t="s">
        <v>74</v>
      </c>
      <c r="AR769" t="s">
        <v>10392</v>
      </c>
      <c r="AS769" t="s">
        <v>10393</v>
      </c>
      <c r="AT769" t="s">
        <v>10127</v>
      </c>
      <c r="AU769">
        <v>2001</v>
      </c>
      <c r="AV769">
        <v>128</v>
      </c>
      <c r="AW769">
        <v>3</v>
      </c>
      <c r="AX769" t="s">
        <v>74</v>
      </c>
      <c r="AY769" t="s">
        <v>74</v>
      </c>
      <c r="AZ769" t="s">
        <v>74</v>
      </c>
      <c r="BA769" t="s">
        <v>74</v>
      </c>
      <c r="BB769">
        <v>553</v>
      </c>
      <c r="BC769">
        <v>564</v>
      </c>
      <c r="BD769" t="s">
        <v>74</v>
      </c>
      <c r="BE769" t="s">
        <v>10394</v>
      </c>
      <c r="BF769" t="str">
        <f>HYPERLINK("http://dx.doi.org/10.1016/S1096-4959(00)00356-0","http://dx.doi.org/10.1016/S1096-4959(00)00356-0")</f>
        <v>http://dx.doi.org/10.1016/S1096-4959(00)00356-0</v>
      </c>
      <c r="BG769" t="s">
        <v>74</v>
      </c>
      <c r="BH769" t="s">
        <v>74</v>
      </c>
      <c r="BI769">
        <v>12</v>
      </c>
      <c r="BJ769" t="s">
        <v>10395</v>
      </c>
      <c r="BK769" t="s">
        <v>88</v>
      </c>
      <c r="BL769" t="s">
        <v>10395</v>
      </c>
      <c r="BM769" t="s">
        <v>10396</v>
      </c>
      <c r="BN769">
        <v>11250551</v>
      </c>
      <c r="BO769" t="s">
        <v>74</v>
      </c>
      <c r="BP769" t="s">
        <v>74</v>
      </c>
      <c r="BQ769" t="s">
        <v>74</v>
      </c>
      <c r="BR769" t="s">
        <v>91</v>
      </c>
      <c r="BS769" t="s">
        <v>10397</v>
      </c>
      <c r="BT769" t="str">
        <f>HYPERLINK("https%3A%2F%2Fwww.webofscience.com%2Fwos%2Fwoscc%2Ffull-record%2FWOS:000167569500019","View Full Record in Web of Science")</f>
        <v>View Full Record in Web of Science</v>
      </c>
    </row>
    <row r="770" spans="1:72" x14ac:dyDescent="0.15">
      <c r="A770" t="s">
        <v>72</v>
      </c>
      <c r="B770" t="s">
        <v>10398</v>
      </c>
      <c r="C770" t="s">
        <v>74</v>
      </c>
      <c r="D770" t="s">
        <v>74</v>
      </c>
      <c r="E770" t="s">
        <v>74</v>
      </c>
      <c r="F770" t="s">
        <v>10398</v>
      </c>
      <c r="G770" t="s">
        <v>74</v>
      </c>
      <c r="H770" t="s">
        <v>74</v>
      </c>
      <c r="I770" t="s">
        <v>10399</v>
      </c>
      <c r="J770" t="s">
        <v>3533</v>
      </c>
      <c r="K770" t="s">
        <v>74</v>
      </c>
      <c r="L770" t="s">
        <v>74</v>
      </c>
      <c r="M770" t="s">
        <v>77</v>
      </c>
      <c r="N770" t="s">
        <v>120</v>
      </c>
      <c r="O770" t="s">
        <v>74</v>
      </c>
      <c r="P770" t="s">
        <v>74</v>
      </c>
      <c r="Q770" t="s">
        <v>74</v>
      </c>
      <c r="R770" t="s">
        <v>74</v>
      </c>
      <c r="S770" t="s">
        <v>74</v>
      </c>
      <c r="T770" t="s">
        <v>10400</v>
      </c>
      <c r="U770" t="s">
        <v>10401</v>
      </c>
      <c r="V770" t="s">
        <v>10402</v>
      </c>
      <c r="W770" t="s">
        <v>10403</v>
      </c>
      <c r="X770" t="s">
        <v>10404</v>
      </c>
      <c r="Y770" t="s">
        <v>10405</v>
      </c>
      <c r="Z770" t="s">
        <v>74</v>
      </c>
      <c r="AA770" t="s">
        <v>10406</v>
      </c>
      <c r="AB770" t="s">
        <v>10407</v>
      </c>
      <c r="AC770" t="s">
        <v>74</v>
      </c>
      <c r="AD770" t="s">
        <v>74</v>
      </c>
      <c r="AE770" t="s">
        <v>74</v>
      </c>
      <c r="AF770" t="s">
        <v>74</v>
      </c>
      <c r="AG770">
        <v>31</v>
      </c>
      <c r="AH770">
        <v>71</v>
      </c>
      <c r="AI770">
        <v>85</v>
      </c>
      <c r="AJ770">
        <v>2</v>
      </c>
      <c r="AK770">
        <v>54</v>
      </c>
      <c r="AL770" t="s">
        <v>79</v>
      </c>
      <c r="AM770" t="s">
        <v>80</v>
      </c>
      <c r="AN770" t="s">
        <v>81</v>
      </c>
      <c r="AO770" t="s">
        <v>3542</v>
      </c>
      <c r="AP770" t="s">
        <v>74</v>
      </c>
      <c r="AQ770" t="s">
        <v>74</v>
      </c>
      <c r="AR770" t="s">
        <v>3543</v>
      </c>
      <c r="AS770" t="s">
        <v>3544</v>
      </c>
      <c r="AT770" t="s">
        <v>10127</v>
      </c>
      <c r="AU770">
        <v>2001</v>
      </c>
      <c r="AV770">
        <v>48</v>
      </c>
      <c r="AW770">
        <v>3</v>
      </c>
      <c r="AX770" t="s">
        <v>74</v>
      </c>
      <c r="AY770" t="s">
        <v>74</v>
      </c>
      <c r="AZ770" t="s">
        <v>74</v>
      </c>
      <c r="BA770" t="s">
        <v>74</v>
      </c>
      <c r="BB770">
        <v>741</v>
      </c>
      <c r="BC770">
        <v>759</v>
      </c>
      <c r="BD770" t="s">
        <v>74</v>
      </c>
      <c r="BE770" t="s">
        <v>10408</v>
      </c>
      <c r="BF770" t="str">
        <f>HYPERLINK("http://dx.doi.org/10.1016/S0967-0637(00)00068-6","http://dx.doi.org/10.1016/S0967-0637(00)00068-6")</f>
        <v>http://dx.doi.org/10.1016/S0967-0637(00)00068-6</v>
      </c>
      <c r="BG770" t="s">
        <v>74</v>
      </c>
      <c r="BH770" t="s">
        <v>74</v>
      </c>
      <c r="BI770">
        <v>19</v>
      </c>
      <c r="BJ770" t="s">
        <v>668</v>
      </c>
      <c r="BK770" t="s">
        <v>88</v>
      </c>
      <c r="BL770" t="s">
        <v>668</v>
      </c>
      <c r="BM770" t="s">
        <v>10409</v>
      </c>
      <c r="BN770" t="s">
        <v>74</v>
      </c>
      <c r="BO770" t="s">
        <v>74</v>
      </c>
      <c r="BP770" t="s">
        <v>74</v>
      </c>
      <c r="BQ770" t="s">
        <v>74</v>
      </c>
      <c r="BR770" t="s">
        <v>91</v>
      </c>
      <c r="BS770" t="s">
        <v>10410</v>
      </c>
      <c r="BT770" t="str">
        <f>HYPERLINK("https%3A%2F%2Fwww.webofscience.com%2Fwos%2Fwoscc%2Ffull-record%2FWOS:000165556300006","View Full Record in Web of Science")</f>
        <v>View Full Record in Web of Science</v>
      </c>
    </row>
    <row r="771" spans="1:72" x14ac:dyDescent="0.15">
      <c r="A771" t="s">
        <v>72</v>
      </c>
      <c r="B771" t="s">
        <v>10411</v>
      </c>
      <c r="C771" t="s">
        <v>74</v>
      </c>
      <c r="D771" t="s">
        <v>74</v>
      </c>
      <c r="E771" t="s">
        <v>74</v>
      </c>
      <c r="F771" t="s">
        <v>10411</v>
      </c>
      <c r="G771" t="s">
        <v>74</v>
      </c>
      <c r="H771" t="s">
        <v>74</v>
      </c>
      <c r="I771" t="s">
        <v>10412</v>
      </c>
      <c r="J771" t="s">
        <v>3533</v>
      </c>
      <c r="K771" t="s">
        <v>74</v>
      </c>
      <c r="L771" t="s">
        <v>74</v>
      </c>
      <c r="M771" t="s">
        <v>77</v>
      </c>
      <c r="N771" t="s">
        <v>120</v>
      </c>
      <c r="O771" t="s">
        <v>74</v>
      </c>
      <c r="P771" t="s">
        <v>74</v>
      </c>
      <c r="Q771" t="s">
        <v>74</v>
      </c>
      <c r="R771" t="s">
        <v>74</v>
      </c>
      <c r="S771" t="s">
        <v>74</v>
      </c>
      <c r="T771" t="s">
        <v>10413</v>
      </c>
      <c r="U771" t="s">
        <v>10414</v>
      </c>
      <c r="V771" t="s">
        <v>10415</v>
      </c>
      <c r="W771" t="s">
        <v>10416</v>
      </c>
      <c r="X771" t="s">
        <v>10417</v>
      </c>
      <c r="Y771" t="s">
        <v>10418</v>
      </c>
      <c r="Z771" t="s">
        <v>74</v>
      </c>
      <c r="AA771" t="s">
        <v>74</v>
      </c>
      <c r="AB771" t="s">
        <v>74</v>
      </c>
      <c r="AC771" t="s">
        <v>74</v>
      </c>
      <c r="AD771" t="s">
        <v>74</v>
      </c>
      <c r="AE771" t="s">
        <v>74</v>
      </c>
      <c r="AF771" t="s">
        <v>74</v>
      </c>
      <c r="AG771">
        <v>53</v>
      </c>
      <c r="AH771">
        <v>171</v>
      </c>
      <c r="AI771">
        <v>174</v>
      </c>
      <c r="AJ771">
        <v>0</v>
      </c>
      <c r="AK771">
        <v>19</v>
      </c>
      <c r="AL771" t="s">
        <v>79</v>
      </c>
      <c r="AM771" t="s">
        <v>80</v>
      </c>
      <c r="AN771" t="s">
        <v>81</v>
      </c>
      <c r="AO771" t="s">
        <v>3542</v>
      </c>
      <c r="AP771" t="s">
        <v>74</v>
      </c>
      <c r="AQ771" t="s">
        <v>74</v>
      </c>
      <c r="AR771" t="s">
        <v>3543</v>
      </c>
      <c r="AS771" t="s">
        <v>3544</v>
      </c>
      <c r="AT771" t="s">
        <v>10127</v>
      </c>
      <c r="AU771">
        <v>2001</v>
      </c>
      <c r="AV771">
        <v>48</v>
      </c>
      <c r="AW771">
        <v>3</v>
      </c>
      <c r="AX771" t="s">
        <v>74</v>
      </c>
      <c r="AY771" t="s">
        <v>74</v>
      </c>
      <c r="AZ771" t="s">
        <v>74</v>
      </c>
      <c r="BA771" t="s">
        <v>74</v>
      </c>
      <c r="BB771">
        <v>865</v>
      </c>
      <c r="BC771">
        <v>889</v>
      </c>
      <c r="BD771" t="s">
        <v>74</v>
      </c>
      <c r="BE771" t="s">
        <v>10419</v>
      </c>
      <c r="BF771" t="str">
        <f>HYPERLINK("http://dx.doi.org/10.1016/S0967-0637(00)00067-4","http://dx.doi.org/10.1016/S0967-0637(00)00067-4")</f>
        <v>http://dx.doi.org/10.1016/S0967-0637(00)00067-4</v>
      </c>
      <c r="BG771" t="s">
        <v>74</v>
      </c>
      <c r="BH771" t="s">
        <v>74</v>
      </c>
      <c r="BI771">
        <v>25</v>
      </c>
      <c r="BJ771" t="s">
        <v>668</v>
      </c>
      <c r="BK771" t="s">
        <v>88</v>
      </c>
      <c r="BL771" t="s">
        <v>668</v>
      </c>
      <c r="BM771" t="s">
        <v>10409</v>
      </c>
      <c r="BN771" t="s">
        <v>74</v>
      </c>
      <c r="BO771" t="s">
        <v>74</v>
      </c>
      <c r="BP771" t="s">
        <v>74</v>
      </c>
      <c r="BQ771" t="s">
        <v>74</v>
      </c>
      <c r="BR771" t="s">
        <v>91</v>
      </c>
      <c r="BS771" t="s">
        <v>10420</v>
      </c>
      <c r="BT771" t="str">
        <f>HYPERLINK("https%3A%2F%2Fwww.webofscience.com%2Fwos%2Fwoscc%2Ffull-record%2FWOS:000165556300011","View Full Record in Web of Science")</f>
        <v>View Full Record in Web of Science</v>
      </c>
    </row>
    <row r="772" spans="1:72" x14ac:dyDescent="0.15">
      <c r="A772" t="s">
        <v>72</v>
      </c>
      <c r="B772" t="s">
        <v>10421</v>
      </c>
      <c r="C772" t="s">
        <v>74</v>
      </c>
      <c r="D772" t="s">
        <v>74</v>
      </c>
      <c r="E772" t="s">
        <v>74</v>
      </c>
      <c r="F772" t="s">
        <v>10421</v>
      </c>
      <c r="G772" t="s">
        <v>74</v>
      </c>
      <c r="H772" t="s">
        <v>74</v>
      </c>
      <c r="I772" t="s">
        <v>10422</v>
      </c>
      <c r="J772" t="s">
        <v>5953</v>
      </c>
      <c r="K772" t="s">
        <v>74</v>
      </c>
      <c r="L772" t="s">
        <v>74</v>
      </c>
      <c r="M772" t="s">
        <v>77</v>
      </c>
      <c r="N772" t="s">
        <v>120</v>
      </c>
      <c r="O772" t="s">
        <v>74</v>
      </c>
      <c r="P772" t="s">
        <v>74</v>
      </c>
      <c r="Q772" t="s">
        <v>74</v>
      </c>
      <c r="R772" t="s">
        <v>74</v>
      </c>
      <c r="S772" t="s">
        <v>74</v>
      </c>
      <c r="T772" t="s">
        <v>10423</v>
      </c>
      <c r="U772" t="s">
        <v>10424</v>
      </c>
      <c r="V772" t="s">
        <v>10425</v>
      </c>
      <c r="W772" t="s">
        <v>10426</v>
      </c>
      <c r="X772" t="s">
        <v>10427</v>
      </c>
      <c r="Y772" t="s">
        <v>10428</v>
      </c>
      <c r="Z772" t="s">
        <v>74</v>
      </c>
      <c r="AA772" t="s">
        <v>10429</v>
      </c>
      <c r="AB772" t="s">
        <v>6714</v>
      </c>
      <c r="AC772" t="s">
        <v>74</v>
      </c>
      <c r="AD772" t="s">
        <v>74</v>
      </c>
      <c r="AE772" t="s">
        <v>74</v>
      </c>
      <c r="AF772" t="s">
        <v>74</v>
      </c>
      <c r="AG772">
        <v>69</v>
      </c>
      <c r="AH772">
        <v>36</v>
      </c>
      <c r="AI772">
        <v>39</v>
      </c>
      <c r="AJ772">
        <v>0</v>
      </c>
      <c r="AK772">
        <v>12</v>
      </c>
      <c r="AL772" t="s">
        <v>10430</v>
      </c>
      <c r="AM772" t="s">
        <v>10431</v>
      </c>
      <c r="AN772" t="s">
        <v>10432</v>
      </c>
      <c r="AO772" t="s">
        <v>5959</v>
      </c>
      <c r="AP772" t="s">
        <v>74</v>
      </c>
      <c r="AQ772" t="s">
        <v>74</v>
      </c>
      <c r="AR772" t="s">
        <v>5961</v>
      </c>
      <c r="AS772" t="s">
        <v>5962</v>
      </c>
      <c r="AT772" t="s">
        <v>10127</v>
      </c>
      <c r="AU772">
        <v>2001</v>
      </c>
      <c r="AV772">
        <v>113</v>
      </c>
      <c r="AW772">
        <v>3</v>
      </c>
      <c r="AX772" t="s">
        <v>74</v>
      </c>
      <c r="AY772" t="s">
        <v>74</v>
      </c>
      <c r="AZ772" t="s">
        <v>74</v>
      </c>
      <c r="BA772" t="s">
        <v>74</v>
      </c>
      <c r="BB772">
        <v>360</v>
      </c>
      <c r="BC772">
        <v>372</v>
      </c>
      <c r="BD772" t="s">
        <v>74</v>
      </c>
      <c r="BE772" t="s">
        <v>10433</v>
      </c>
      <c r="BF772" t="str">
        <f>HYPERLINK("http://dx.doi.org/10.1130/0016-7606(2001)113&lt;0360:POTCLG&gt;2.0.CO;2","http://dx.doi.org/10.1130/0016-7606(2001)113&lt;0360:POTCLG&gt;2.0.CO;2")</f>
        <v>http://dx.doi.org/10.1130/0016-7606(2001)113&lt;0360:POTCLG&gt;2.0.CO;2</v>
      </c>
      <c r="BG772" t="s">
        <v>74</v>
      </c>
      <c r="BH772" t="s">
        <v>74</v>
      </c>
      <c r="BI772">
        <v>13</v>
      </c>
      <c r="BJ772" t="s">
        <v>300</v>
      </c>
      <c r="BK772" t="s">
        <v>88</v>
      </c>
      <c r="BL772" t="s">
        <v>113</v>
      </c>
      <c r="BM772" t="s">
        <v>10434</v>
      </c>
      <c r="BN772" t="s">
        <v>74</v>
      </c>
      <c r="BO772" t="s">
        <v>74</v>
      </c>
      <c r="BP772" t="s">
        <v>74</v>
      </c>
      <c r="BQ772" t="s">
        <v>74</v>
      </c>
      <c r="BR772" t="s">
        <v>91</v>
      </c>
      <c r="BS772" t="s">
        <v>10435</v>
      </c>
      <c r="BT772" t="str">
        <f>HYPERLINK("https%3A%2F%2Fwww.webofscience.com%2Fwos%2Fwoscc%2Ffull-record%2FWOS:000167183700006","View Full Record in Web of Science")</f>
        <v>View Full Record in Web of Science</v>
      </c>
    </row>
    <row r="773" spans="1:72" x14ac:dyDescent="0.15">
      <c r="A773" t="s">
        <v>72</v>
      </c>
      <c r="B773" t="s">
        <v>10436</v>
      </c>
      <c r="C773" t="s">
        <v>74</v>
      </c>
      <c r="D773" t="s">
        <v>74</v>
      </c>
      <c r="E773" t="s">
        <v>74</v>
      </c>
      <c r="F773" t="s">
        <v>10436</v>
      </c>
      <c r="G773" t="s">
        <v>74</v>
      </c>
      <c r="H773" t="s">
        <v>74</v>
      </c>
      <c r="I773" t="s">
        <v>10437</v>
      </c>
      <c r="J773" t="s">
        <v>10438</v>
      </c>
      <c r="K773" t="s">
        <v>74</v>
      </c>
      <c r="L773" t="s">
        <v>74</v>
      </c>
      <c r="M773" t="s">
        <v>77</v>
      </c>
      <c r="N773" t="s">
        <v>120</v>
      </c>
      <c r="O773" t="s">
        <v>74</v>
      </c>
      <c r="P773" t="s">
        <v>74</v>
      </c>
      <c r="Q773" t="s">
        <v>74</v>
      </c>
      <c r="R773" t="s">
        <v>74</v>
      </c>
      <c r="S773" t="s">
        <v>74</v>
      </c>
      <c r="T773" t="s">
        <v>10439</v>
      </c>
      <c r="U773" t="s">
        <v>10440</v>
      </c>
      <c r="V773" t="s">
        <v>10441</v>
      </c>
      <c r="W773" t="s">
        <v>10442</v>
      </c>
      <c r="X773" t="s">
        <v>10443</v>
      </c>
      <c r="Y773" t="s">
        <v>10444</v>
      </c>
      <c r="Z773" t="s">
        <v>74</v>
      </c>
      <c r="AA773" t="s">
        <v>74</v>
      </c>
      <c r="AB773" t="s">
        <v>3242</v>
      </c>
      <c r="AC773" t="s">
        <v>74</v>
      </c>
      <c r="AD773" t="s">
        <v>74</v>
      </c>
      <c r="AE773" t="s">
        <v>74</v>
      </c>
      <c r="AF773" t="s">
        <v>74</v>
      </c>
      <c r="AG773">
        <v>31</v>
      </c>
      <c r="AH773">
        <v>1</v>
      </c>
      <c r="AI773">
        <v>3</v>
      </c>
      <c r="AJ773">
        <v>0</v>
      </c>
      <c r="AK773">
        <v>3</v>
      </c>
      <c r="AL773" t="s">
        <v>1080</v>
      </c>
      <c r="AM773" t="s">
        <v>80</v>
      </c>
      <c r="AN773" t="s">
        <v>1081</v>
      </c>
      <c r="AO773" t="s">
        <v>10445</v>
      </c>
      <c r="AP773" t="s">
        <v>74</v>
      </c>
      <c r="AQ773" t="s">
        <v>74</v>
      </c>
      <c r="AR773" t="s">
        <v>10446</v>
      </c>
      <c r="AS773" t="s">
        <v>10447</v>
      </c>
      <c r="AT773" t="s">
        <v>10127</v>
      </c>
      <c r="AU773">
        <v>2001</v>
      </c>
      <c r="AV773">
        <v>56</v>
      </c>
      <c r="AW773">
        <v>1</v>
      </c>
      <c r="AX773" t="s">
        <v>74</v>
      </c>
      <c r="AY773" t="s">
        <v>74</v>
      </c>
      <c r="AZ773" t="s">
        <v>74</v>
      </c>
      <c r="BA773" t="s">
        <v>74</v>
      </c>
      <c r="BB773">
        <v>84</v>
      </c>
      <c r="BC773">
        <v>91</v>
      </c>
      <c r="BD773" t="s">
        <v>74</v>
      </c>
      <c r="BE773" t="s">
        <v>10448</v>
      </c>
      <c r="BF773" t="str">
        <f>HYPERLINK("http://dx.doi.org/10.1046/j.1365-2494.2001.00252.x","http://dx.doi.org/10.1046/j.1365-2494.2001.00252.x")</f>
        <v>http://dx.doi.org/10.1046/j.1365-2494.2001.00252.x</v>
      </c>
      <c r="BG773" t="s">
        <v>74</v>
      </c>
      <c r="BH773" t="s">
        <v>74</v>
      </c>
      <c r="BI773">
        <v>8</v>
      </c>
      <c r="BJ773" t="s">
        <v>10449</v>
      </c>
      <c r="BK773" t="s">
        <v>88</v>
      </c>
      <c r="BL773" t="s">
        <v>8721</v>
      </c>
      <c r="BM773" t="s">
        <v>10450</v>
      </c>
      <c r="BN773" t="s">
        <v>74</v>
      </c>
      <c r="BO773" t="s">
        <v>74</v>
      </c>
      <c r="BP773" t="s">
        <v>74</v>
      </c>
      <c r="BQ773" t="s">
        <v>74</v>
      </c>
      <c r="BR773" t="s">
        <v>91</v>
      </c>
      <c r="BS773" t="s">
        <v>10451</v>
      </c>
      <c r="BT773" t="str">
        <f>HYPERLINK("https%3A%2F%2Fwww.webofscience.com%2Fwos%2Fwoscc%2Ffull-record%2FWOS:000168000200009","View Full Record in Web of Science")</f>
        <v>View Full Record in Web of Science</v>
      </c>
    </row>
    <row r="774" spans="1:72" x14ac:dyDescent="0.15">
      <c r="A774" t="s">
        <v>72</v>
      </c>
      <c r="B774" t="s">
        <v>10452</v>
      </c>
      <c r="C774" t="s">
        <v>74</v>
      </c>
      <c r="D774" t="s">
        <v>74</v>
      </c>
      <c r="E774" t="s">
        <v>74</v>
      </c>
      <c r="F774" t="s">
        <v>10452</v>
      </c>
      <c r="G774" t="s">
        <v>74</v>
      </c>
      <c r="H774" t="s">
        <v>74</v>
      </c>
      <c r="I774" t="s">
        <v>10453</v>
      </c>
      <c r="J774" t="s">
        <v>8320</v>
      </c>
      <c r="K774" t="s">
        <v>74</v>
      </c>
      <c r="L774" t="s">
        <v>74</v>
      </c>
      <c r="M774" t="s">
        <v>77</v>
      </c>
      <c r="N774" t="s">
        <v>120</v>
      </c>
      <c r="O774" t="s">
        <v>74</v>
      </c>
      <c r="P774" t="s">
        <v>74</v>
      </c>
      <c r="Q774" t="s">
        <v>74</v>
      </c>
      <c r="R774" t="s">
        <v>74</v>
      </c>
      <c r="S774" t="s">
        <v>74</v>
      </c>
      <c r="T774" t="s">
        <v>10454</v>
      </c>
      <c r="U774" t="s">
        <v>10455</v>
      </c>
      <c r="V774" t="s">
        <v>10456</v>
      </c>
      <c r="W774" t="s">
        <v>10457</v>
      </c>
      <c r="X774" t="s">
        <v>10458</v>
      </c>
      <c r="Y774" t="s">
        <v>10459</v>
      </c>
      <c r="Z774" t="s">
        <v>74</v>
      </c>
      <c r="AA774" t="s">
        <v>10460</v>
      </c>
      <c r="AB774" t="s">
        <v>10461</v>
      </c>
      <c r="AC774" t="s">
        <v>10462</v>
      </c>
      <c r="AD774" t="s">
        <v>10463</v>
      </c>
      <c r="AE774" t="s">
        <v>74</v>
      </c>
      <c r="AF774" t="s">
        <v>74</v>
      </c>
      <c r="AG774">
        <v>44</v>
      </c>
      <c r="AH774">
        <v>37</v>
      </c>
      <c r="AI774">
        <v>39</v>
      </c>
      <c r="AJ774">
        <v>0</v>
      </c>
      <c r="AK774">
        <v>9</v>
      </c>
      <c r="AL774" t="s">
        <v>8329</v>
      </c>
      <c r="AM774" t="s">
        <v>683</v>
      </c>
      <c r="AN774" t="s">
        <v>8330</v>
      </c>
      <c r="AO774" t="s">
        <v>8331</v>
      </c>
      <c r="AP774" t="s">
        <v>74</v>
      </c>
      <c r="AQ774" t="s">
        <v>74</v>
      </c>
      <c r="AR774" t="s">
        <v>8320</v>
      </c>
      <c r="AS774" t="s">
        <v>8332</v>
      </c>
      <c r="AT774" t="s">
        <v>10127</v>
      </c>
      <c r="AU774">
        <v>2001</v>
      </c>
      <c r="AV774">
        <v>11</v>
      </c>
      <c r="AW774">
        <v>2</v>
      </c>
      <c r="AX774" t="s">
        <v>74</v>
      </c>
      <c r="AY774" t="s">
        <v>74</v>
      </c>
      <c r="AZ774" t="s">
        <v>74</v>
      </c>
      <c r="BA774" t="s">
        <v>74</v>
      </c>
      <c r="BB774">
        <v>149</v>
      </c>
      <c r="BC774">
        <v>160</v>
      </c>
      <c r="BD774" t="s">
        <v>74</v>
      </c>
      <c r="BE774" t="s">
        <v>10464</v>
      </c>
      <c r="BF774" t="str">
        <f>HYPERLINK("http://dx.doi.org/10.1191/095968301669281809","http://dx.doi.org/10.1191/095968301669281809")</f>
        <v>http://dx.doi.org/10.1191/095968301669281809</v>
      </c>
      <c r="BG774" t="s">
        <v>74</v>
      </c>
      <c r="BH774" t="s">
        <v>74</v>
      </c>
      <c r="BI774">
        <v>12</v>
      </c>
      <c r="BJ774" t="s">
        <v>1049</v>
      </c>
      <c r="BK774" t="s">
        <v>88</v>
      </c>
      <c r="BL774" t="s">
        <v>1050</v>
      </c>
      <c r="BM774" t="s">
        <v>10465</v>
      </c>
      <c r="BN774" t="s">
        <v>74</v>
      </c>
      <c r="BO774" t="s">
        <v>74</v>
      </c>
      <c r="BP774" t="s">
        <v>74</v>
      </c>
      <c r="BQ774" t="s">
        <v>74</v>
      </c>
      <c r="BR774" t="s">
        <v>91</v>
      </c>
      <c r="BS774" t="s">
        <v>10466</v>
      </c>
      <c r="BT774" t="str">
        <f>HYPERLINK("https%3A%2F%2Fwww.webofscience.com%2Fwos%2Fwoscc%2Ffull-record%2FWOS:000167169700002","View Full Record in Web of Science")</f>
        <v>View Full Record in Web of Science</v>
      </c>
    </row>
    <row r="775" spans="1:72" x14ac:dyDescent="0.15">
      <c r="A775" t="s">
        <v>72</v>
      </c>
      <c r="B775" t="s">
        <v>10467</v>
      </c>
      <c r="C775" t="s">
        <v>74</v>
      </c>
      <c r="D775" t="s">
        <v>74</v>
      </c>
      <c r="E775" t="s">
        <v>74</v>
      </c>
      <c r="F775" t="s">
        <v>10467</v>
      </c>
      <c r="G775" t="s">
        <v>74</v>
      </c>
      <c r="H775" t="s">
        <v>74</v>
      </c>
      <c r="I775" t="s">
        <v>10468</v>
      </c>
      <c r="J775" t="s">
        <v>10469</v>
      </c>
      <c r="K775" t="s">
        <v>74</v>
      </c>
      <c r="L775" t="s">
        <v>74</v>
      </c>
      <c r="M775" t="s">
        <v>77</v>
      </c>
      <c r="N775" t="s">
        <v>120</v>
      </c>
      <c r="O775" t="s">
        <v>74</v>
      </c>
      <c r="P775" t="s">
        <v>74</v>
      </c>
      <c r="Q775" t="s">
        <v>74</v>
      </c>
      <c r="R775" t="s">
        <v>74</v>
      </c>
      <c r="S775" t="s">
        <v>74</v>
      </c>
      <c r="T775" t="s">
        <v>74</v>
      </c>
      <c r="U775" t="s">
        <v>10470</v>
      </c>
      <c r="V775" t="s">
        <v>10471</v>
      </c>
      <c r="W775" t="s">
        <v>10472</v>
      </c>
      <c r="X775" t="s">
        <v>125</v>
      </c>
      <c r="Y775" t="s">
        <v>10473</v>
      </c>
      <c r="Z775" t="s">
        <v>74</v>
      </c>
      <c r="AA775" t="s">
        <v>74</v>
      </c>
      <c r="AB775" t="s">
        <v>74</v>
      </c>
      <c r="AC775" t="s">
        <v>74</v>
      </c>
      <c r="AD775" t="s">
        <v>74</v>
      </c>
      <c r="AE775" t="s">
        <v>74</v>
      </c>
      <c r="AF775" t="s">
        <v>74</v>
      </c>
      <c r="AG775">
        <v>14</v>
      </c>
      <c r="AH775">
        <v>18</v>
      </c>
      <c r="AI775">
        <v>19</v>
      </c>
      <c r="AJ775">
        <v>0</v>
      </c>
      <c r="AK775">
        <v>3</v>
      </c>
      <c r="AL775" t="s">
        <v>10474</v>
      </c>
      <c r="AM775" t="s">
        <v>204</v>
      </c>
      <c r="AN775" t="s">
        <v>10475</v>
      </c>
      <c r="AO775" t="s">
        <v>10476</v>
      </c>
      <c r="AP775" t="s">
        <v>74</v>
      </c>
      <c r="AQ775" t="s">
        <v>74</v>
      </c>
      <c r="AR775" t="s">
        <v>10477</v>
      </c>
      <c r="AS775" t="s">
        <v>10478</v>
      </c>
      <c r="AT775" t="s">
        <v>10127</v>
      </c>
      <c r="AU775">
        <v>2001</v>
      </c>
      <c r="AV775">
        <v>39</v>
      </c>
      <c r="AW775">
        <v>3</v>
      </c>
      <c r="AX775" t="s">
        <v>74</v>
      </c>
      <c r="AY775" t="s">
        <v>74</v>
      </c>
      <c r="AZ775" t="s">
        <v>74</v>
      </c>
      <c r="BA775" t="s">
        <v>74</v>
      </c>
      <c r="BB775">
        <v>595</v>
      </c>
      <c r="BC775">
        <v>605</v>
      </c>
      <c r="BD775" t="s">
        <v>74</v>
      </c>
      <c r="BE775" t="s">
        <v>10479</v>
      </c>
      <c r="BF775" t="str">
        <f>HYPERLINK("http://dx.doi.org/10.1109/36.911117","http://dx.doi.org/10.1109/36.911117")</f>
        <v>http://dx.doi.org/10.1109/36.911117</v>
      </c>
      <c r="BG775" t="s">
        <v>74</v>
      </c>
      <c r="BH775" t="s">
        <v>74</v>
      </c>
      <c r="BI775">
        <v>11</v>
      </c>
      <c r="BJ775" t="s">
        <v>10480</v>
      </c>
      <c r="BK775" t="s">
        <v>88</v>
      </c>
      <c r="BL775" t="s">
        <v>10481</v>
      </c>
      <c r="BM775" t="s">
        <v>10482</v>
      </c>
      <c r="BN775" t="s">
        <v>74</v>
      </c>
      <c r="BO775" t="s">
        <v>5646</v>
      </c>
      <c r="BP775" t="s">
        <v>74</v>
      </c>
      <c r="BQ775" t="s">
        <v>74</v>
      </c>
      <c r="BR775" t="s">
        <v>91</v>
      </c>
      <c r="BS775" t="s">
        <v>10483</v>
      </c>
      <c r="BT775" t="str">
        <f>HYPERLINK("https%3A%2F%2Fwww.webofscience.com%2Fwos%2Fwoscc%2Ffull-record%2FWOS:000167628100012","View Full Record in Web of Science")</f>
        <v>View Full Record in Web of Science</v>
      </c>
    </row>
    <row r="776" spans="1:72" x14ac:dyDescent="0.15">
      <c r="A776" t="s">
        <v>72</v>
      </c>
      <c r="B776" t="s">
        <v>10484</v>
      </c>
      <c r="C776" t="s">
        <v>74</v>
      </c>
      <c r="D776" t="s">
        <v>74</v>
      </c>
      <c r="E776" t="s">
        <v>74</v>
      </c>
      <c r="F776" t="s">
        <v>10484</v>
      </c>
      <c r="G776" t="s">
        <v>74</v>
      </c>
      <c r="H776" t="s">
        <v>74</v>
      </c>
      <c r="I776" t="s">
        <v>10485</v>
      </c>
      <c r="J776" t="s">
        <v>10469</v>
      </c>
      <c r="K776" t="s">
        <v>74</v>
      </c>
      <c r="L776" t="s">
        <v>74</v>
      </c>
      <c r="M776" t="s">
        <v>77</v>
      </c>
      <c r="N776" t="s">
        <v>120</v>
      </c>
      <c r="O776" t="s">
        <v>74</v>
      </c>
      <c r="P776" t="s">
        <v>74</v>
      </c>
      <c r="Q776" t="s">
        <v>74</v>
      </c>
      <c r="R776" t="s">
        <v>74</v>
      </c>
      <c r="S776" t="s">
        <v>74</v>
      </c>
      <c r="T776" t="s">
        <v>10486</v>
      </c>
      <c r="U776" t="s">
        <v>10487</v>
      </c>
      <c r="V776" t="s">
        <v>10488</v>
      </c>
      <c r="W776" t="s">
        <v>10489</v>
      </c>
      <c r="X776" t="s">
        <v>10490</v>
      </c>
      <c r="Y776" t="s">
        <v>10491</v>
      </c>
      <c r="Z776" t="s">
        <v>10492</v>
      </c>
      <c r="AA776" t="s">
        <v>74</v>
      </c>
      <c r="AB776" t="s">
        <v>74</v>
      </c>
      <c r="AC776" t="s">
        <v>74</v>
      </c>
      <c r="AD776" t="s">
        <v>74</v>
      </c>
      <c r="AE776" t="s">
        <v>74</v>
      </c>
      <c r="AF776" t="s">
        <v>74</v>
      </c>
      <c r="AG776">
        <v>30</v>
      </c>
      <c r="AH776">
        <v>3</v>
      </c>
      <c r="AI776">
        <v>4</v>
      </c>
      <c r="AJ776">
        <v>0</v>
      </c>
      <c r="AK776">
        <v>7</v>
      </c>
      <c r="AL776" t="s">
        <v>10474</v>
      </c>
      <c r="AM776" t="s">
        <v>10493</v>
      </c>
      <c r="AN776" t="s">
        <v>10494</v>
      </c>
      <c r="AO776" t="s">
        <v>10476</v>
      </c>
      <c r="AP776" t="s">
        <v>10495</v>
      </c>
      <c r="AQ776" t="s">
        <v>74</v>
      </c>
      <c r="AR776" t="s">
        <v>10477</v>
      </c>
      <c r="AS776" t="s">
        <v>10478</v>
      </c>
      <c r="AT776" t="s">
        <v>10127</v>
      </c>
      <c r="AU776">
        <v>2001</v>
      </c>
      <c r="AV776">
        <v>39</v>
      </c>
      <c r="AW776">
        <v>3</v>
      </c>
      <c r="AX776" t="s">
        <v>74</v>
      </c>
      <c r="AY776" t="s">
        <v>74</v>
      </c>
      <c r="AZ776" t="s">
        <v>74</v>
      </c>
      <c r="BA776" t="s">
        <v>74</v>
      </c>
      <c r="BB776">
        <v>635</v>
      </c>
      <c r="BC776">
        <v>644</v>
      </c>
      <c r="BD776" t="s">
        <v>74</v>
      </c>
      <c r="BE776" t="s">
        <v>10496</v>
      </c>
      <c r="BF776" t="str">
        <f>HYPERLINK("http://dx.doi.org/10.1109/36.911120","http://dx.doi.org/10.1109/36.911120")</f>
        <v>http://dx.doi.org/10.1109/36.911120</v>
      </c>
      <c r="BG776" t="s">
        <v>74</v>
      </c>
      <c r="BH776" t="s">
        <v>74</v>
      </c>
      <c r="BI776">
        <v>10</v>
      </c>
      <c r="BJ776" t="s">
        <v>10480</v>
      </c>
      <c r="BK776" t="s">
        <v>88</v>
      </c>
      <c r="BL776" t="s">
        <v>10481</v>
      </c>
      <c r="BM776" t="s">
        <v>10482</v>
      </c>
      <c r="BN776" t="s">
        <v>74</v>
      </c>
      <c r="BO776" t="s">
        <v>359</v>
      </c>
      <c r="BP776" t="s">
        <v>74</v>
      </c>
      <c r="BQ776" t="s">
        <v>74</v>
      </c>
      <c r="BR776" t="s">
        <v>91</v>
      </c>
      <c r="BS776" t="s">
        <v>10497</v>
      </c>
      <c r="BT776" t="str">
        <f>HYPERLINK("https%3A%2F%2Fwww.webofscience.com%2Fwos%2Fwoscc%2Ffull-record%2FWOS:000167628100015","View Full Record in Web of Science")</f>
        <v>View Full Record in Web of Science</v>
      </c>
    </row>
    <row r="777" spans="1:72" x14ac:dyDescent="0.15">
      <c r="A777" t="s">
        <v>72</v>
      </c>
      <c r="B777" t="s">
        <v>10498</v>
      </c>
      <c r="C777" t="s">
        <v>74</v>
      </c>
      <c r="D777" t="s">
        <v>74</v>
      </c>
      <c r="E777" t="s">
        <v>74</v>
      </c>
      <c r="F777" t="s">
        <v>10498</v>
      </c>
      <c r="G777" t="s">
        <v>74</v>
      </c>
      <c r="H777" t="s">
        <v>74</v>
      </c>
      <c r="I777" t="s">
        <v>10499</v>
      </c>
      <c r="J777" t="s">
        <v>1201</v>
      </c>
      <c r="K777" t="s">
        <v>74</v>
      </c>
      <c r="L777" t="s">
        <v>74</v>
      </c>
      <c r="M777" t="s">
        <v>77</v>
      </c>
      <c r="N777" t="s">
        <v>120</v>
      </c>
      <c r="O777" t="s">
        <v>74</v>
      </c>
      <c r="P777" t="s">
        <v>74</v>
      </c>
      <c r="Q777" t="s">
        <v>74</v>
      </c>
      <c r="R777" t="s">
        <v>74</v>
      </c>
      <c r="S777" t="s">
        <v>74</v>
      </c>
      <c r="T777" t="s">
        <v>10500</v>
      </c>
      <c r="U777" t="s">
        <v>10501</v>
      </c>
      <c r="V777" t="s">
        <v>10502</v>
      </c>
      <c r="W777" t="s">
        <v>10503</v>
      </c>
      <c r="X777" t="s">
        <v>10504</v>
      </c>
      <c r="Y777" t="s">
        <v>10505</v>
      </c>
      <c r="Z777" t="s">
        <v>74</v>
      </c>
      <c r="AA777" t="s">
        <v>74</v>
      </c>
      <c r="AB777" t="s">
        <v>10506</v>
      </c>
      <c r="AC777" t="s">
        <v>74</v>
      </c>
      <c r="AD777" t="s">
        <v>74</v>
      </c>
      <c r="AE777" t="s">
        <v>74</v>
      </c>
      <c r="AF777" t="s">
        <v>74</v>
      </c>
      <c r="AG777">
        <v>17</v>
      </c>
      <c r="AH777">
        <v>6</v>
      </c>
      <c r="AI777">
        <v>6</v>
      </c>
      <c r="AJ777">
        <v>0</v>
      </c>
      <c r="AK777">
        <v>1</v>
      </c>
      <c r="AL777" t="s">
        <v>79</v>
      </c>
      <c r="AM777" t="s">
        <v>80</v>
      </c>
      <c r="AN777" t="s">
        <v>81</v>
      </c>
      <c r="AO777" t="s">
        <v>1208</v>
      </c>
      <c r="AP777" t="s">
        <v>74</v>
      </c>
      <c r="AQ777" t="s">
        <v>74</v>
      </c>
      <c r="AR777" t="s">
        <v>1209</v>
      </c>
      <c r="AS777" t="s">
        <v>1210</v>
      </c>
      <c r="AT777" t="s">
        <v>10127</v>
      </c>
      <c r="AU777">
        <v>2001</v>
      </c>
      <c r="AV777">
        <v>63</v>
      </c>
      <c r="AW777">
        <v>4</v>
      </c>
      <c r="AX777" t="s">
        <v>74</v>
      </c>
      <c r="AY777" t="s">
        <v>74</v>
      </c>
      <c r="AZ777" t="s">
        <v>74</v>
      </c>
      <c r="BA777" t="s">
        <v>74</v>
      </c>
      <c r="BB777">
        <v>321</v>
      </c>
      <c r="BC777">
        <v>329</v>
      </c>
      <c r="BD777" t="s">
        <v>74</v>
      </c>
      <c r="BE777" t="s">
        <v>74</v>
      </c>
      <c r="BF777" t="s">
        <v>74</v>
      </c>
      <c r="BG777" t="s">
        <v>74</v>
      </c>
      <c r="BH777" t="s">
        <v>74</v>
      </c>
      <c r="BI777">
        <v>9</v>
      </c>
      <c r="BJ777" t="s">
        <v>1212</v>
      </c>
      <c r="BK777" t="s">
        <v>88</v>
      </c>
      <c r="BL777" t="s">
        <v>1212</v>
      </c>
      <c r="BM777" t="s">
        <v>10507</v>
      </c>
      <c r="BN777" t="s">
        <v>74</v>
      </c>
      <c r="BO777" t="s">
        <v>74</v>
      </c>
      <c r="BP777" t="s">
        <v>74</v>
      </c>
      <c r="BQ777" t="s">
        <v>74</v>
      </c>
      <c r="BR777" t="s">
        <v>91</v>
      </c>
      <c r="BS777" t="s">
        <v>10508</v>
      </c>
      <c r="BT777" t="str">
        <f>HYPERLINK("https%3A%2F%2Fwww.webofscience.com%2Fwos%2Fwoscc%2Ffull-record%2FWOS:000167157900003","View Full Record in Web of Science")</f>
        <v>View Full Record in Web of Science</v>
      </c>
    </row>
    <row r="778" spans="1:72" x14ac:dyDescent="0.15">
      <c r="A778" t="s">
        <v>72</v>
      </c>
      <c r="B778" t="s">
        <v>10509</v>
      </c>
      <c r="C778" t="s">
        <v>74</v>
      </c>
      <c r="D778" t="s">
        <v>74</v>
      </c>
      <c r="E778" t="s">
        <v>74</v>
      </c>
      <c r="F778" t="s">
        <v>10509</v>
      </c>
      <c r="G778" t="s">
        <v>74</v>
      </c>
      <c r="H778" t="s">
        <v>74</v>
      </c>
      <c r="I778" t="s">
        <v>10510</v>
      </c>
      <c r="J778" t="s">
        <v>10511</v>
      </c>
      <c r="K778" t="s">
        <v>74</v>
      </c>
      <c r="L778" t="s">
        <v>74</v>
      </c>
      <c r="M778" t="s">
        <v>77</v>
      </c>
      <c r="N778" t="s">
        <v>120</v>
      </c>
      <c r="O778" t="s">
        <v>74</v>
      </c>
      <c r="P778" t="s">
        <v>74</v>
      </c>
      <c r="Q778" t="s">
        <v>74</v>
      </c>
      <c r="R778" t="s">
        <v>74</v>
      </c>
      <c r="S778" t="s">
        <v>74</v>
      </c>
      <c r="T778" t="s">
        <v>74</v>
      </c>
      <c r="U778" t="s">
        <v>10512</v>
      </c>
      <c r="V778" t="s">
        <v>10513</v>
      </c>
      <c r="W778" t="s">
        <v>10514</v>
      </c>
      <c r="X778" t="s">
        <v>10515</v>
      </c>
      <c r="Y778" t="s">
        <v>10516</v>
      </c>
      <c r="Z778" t="s">
        <v>10517</v>
      </c>
      <c r="AA778" t="s">
        <v>10518</v>
      </c>
      <c r="AB778" t="s">
        <v>74</v>
      </c>
      <c r="AC778" t="s">
        <v>74</v>
      </c>
      <c r="AD778" t="s">
        <v>74</v>
      </c>
      <c r="AE778" t="s">
        <v>74</v>
      </c>
      <c r="AF778" t="s">
        <v>74</v>
      </c>
      <c r="AG778">
        <v>37</v>
      </c>
      <c r="AH778">
        <v>51</v>
      </c>
      <c r="AI778">
        <v>59</v>
      </c>
      <c r="AJ778">
        <v>7</v>
      </c>
      <c r="AK778">
        <v>13</v>
      </c>
      <c r="AL778" t="s">
        <v>753</v>
      </c>
      <c r="AM778" t="s">
        <v>150</v>
      </c>
      <c r="AN778" t="s">
        <v>754</v>
      </c>
      <c r="AO778" t="s">
        <v>10519</v>
      </c>
      <c r="AP778" t="s">
        <v>10520</v>
      </c>
      <c r="AQ778" t="s">
        <v>74</v>
      </c>
      <c r="AR778" t="s">
        <v>10521</v>
      </c>
      <c r="AS778" t="s">
        <v>10522</v>
      </c>
      <c r="AT778" t="s">
        <v>10127</v>
      </c>
      <c r="AU778">
        <v>2001</v>
      </c>
      <c r="AV778">
        <v>183</v>
      </c>
      <c r="AW778">
        <v>5</v>
      </c>
      <c r="AX778" t="s">
        <v>74</v>
      </c>
      <c r="AY778" t="s">
        <v>74</v>
      </c>
      <c r="AZ778" t="s">
        <v>74</v>
      </c>
      <c r="BA778" t="s">
        <v>74</v>
      </c>
      <c r="BB778">
        <v>1773</v>
      </c>
      <c r="BC778">
        <v>1779</v>
      </c>
      <c r="BD778" t="s">
        <v>74</v>
      </c>
      <c r="BE778" t="s">
        <v>10523</v>
      </c>
      <c r="BF778" t="str">
        <f>HYPERLINK("http://dx.doi.org/10.1128/JB.183.5.1773-1779.2001","http://dx.doi.org/10.1128/JB.183.5.1773-1779.2001")</f>
        <v>http://dx.doi.org/10.1128/JB.183.5.1773-1779.2001</v>
      </c>
      <c r="BG778" t="s">
        <v>74</v>
      </c>
      <c r="BH778" t="s">
        <v>74</v>
      </c>
      <c r="BI778">
        <v>7</v>
      </c>
      <c r="BJ778" t="s">
        <v>1196</v>
      </c>
      <c r="BK778" t="s">
        <v>88</v>
      </c>
      <c r="BL778" t="s">
        <v>1196</v>
      </c>
      <c r="BM778" t="s">
        <v>10524</v>
      </c>
      <c r="BN778">
        <v>11160110</v>
      </c>
      <c r="BO778" t="s">
        <v>761</v>
      </c>
      <c r="BP778" t="s">
        <v>74</v>
      </c>
      <c r="BQ778" t="s">
        <v>74</v>
      </c>
      <c r="BR778" t="s">
        <v>91</v>
      </c>
      <c r="BS778" t="s">
        <v>10525</v>
      </c>
      <c r="BT778" t="str">
        <f>HYPERLINK("https%3A%2F%2Fwww.webofscience.com%2Fwos%2Fwoscc%2Ffull-record%2FWOS:000166943600032","View Full Record in Web of Science")</f>
        <v>View Full Record in Web of Science</v>
      </c>
    </row>
    <row r="779" spans="1:72" x14ac:dyDescent="0.15">
      <c r="A779" t="s">
        <v>72</v>
      </c>
      <c r="B779" t="s">
        <v>10526</v>
      </c>
      <c r="C779" t="s">
        <v>74</v>
      </c>
      <c r="D779" t="s">
        <v>74</v>
      </c>
      <c r="E779" t="s">
        <v>74</v>
      </c>
      <c r="F779" t="s">
        <v>10526</v>
      </c>
      <c r="G779" t="s">
        <v>74</v>
      </c>
      <c r="H779" t="s">
        <v>74</v>
      </c>
      <c r="I779" t="s">
        <v>10527</v>
      </c>
      <c r="J779" t="s">
        <v>10511</v>
      </c>
      <c r="K779" t="s">
        <v>74</v>
      </c>
      <c r="L779" t="s">
        <v>74</v>
      </c>
      <c r="M779" t="s">
        <v>77</v>
      </c>
      <c r="N779" t="s">
        <v>120</v>
      </c>
      <c r="O779" t="s">
        <v>74</v>
      </c>
      <c r="P779" t="s">
        <v>74</v>
      </c>
      <c r="Q779" t="s">
        <v>74</v>
      </c>
      <c r="R779" t="s">
        <v>74</v>
      </c>
      <c r="S779" t="s">
        <v>74</v>
      </c>
      <c r="T779" t="s">
        <v>74</v>
      </c>
      <c r="U779" t="s">
        <v>10528</v>
      </c>
      <c r="V779" t="s">
        <v>10529</v>
      </c>
      <c r="W779" t="s">
        <v>10530</v>
      </c>
      <c r="X779" t="s">
        <v>3413</v>
      </c>
      <c r="Y779" t="s">
        <v>10531</v>
      </c>
      <c r="Z779" t="s">
        <v>10532</v>
      </c>
      <c r="AA779" t="s">
        <v>10533</v>
      </c>
      <c r="AB779" t="s">
        <v>10534</v>
      </c>
      <c r="AC779" t="s">
        <v>74</v>
      </c>
      <c r="AD779" t="s">
        <v>74</v>
      </c>
      <c r="AE779" t="s">
        <v>74</v>
      </c>
      <c r="AF779" t="s">
        <v>74</v>
      </c>
      <c r="AG779">
        <v>43</v>
      </c>
      <c r="AH779">
        <v>38</v>
      </c>
      <c r="AI779">
        <v>44</v>
      </c>
      <c r="AJ779">
        <v>3</v>
      </c>
      <c r="AK779">
        <v>4</v>
      </c>
      <c r="AL779" t="s">
        <v>753</v>
      </c>
      <c r="AM779" t="s">
        <v>150</v>
      </c>
      <c r="AN779" t="s">
        <v>754</v>
      </c>
      <c r="AO779" t="s">
        <v>10519</v>
      </c>
      <c r="AP779" t="s">
        <v>10520</v>
      </c>
      <c r="AQ779" t="s">
        <v>74</v>
      </c>
      <c r="AR779" t="s">
        <v>10521</v>
      </c>
      <c r="AS779" t="s">
        <v>10522</v>
      </c>
      <c r="AT779" t="s">
        <v>10127</v>
      </c>
      <c r="AU779">
        <v>2001</v>
      </c>
      <c r="AV779">
        <v>183</v>
      </c>
      <c r="AW779">
        <v>6</v>
      </c>
      <c r="AX779" t="s">
        <v>74</v>
      </c>
      <c r="AY779" t="s">
        <v>74</v>
      </c>
      <c r="AZ779" t="s">
        <v>74</v>
      </c>
      <c r="BA779" t="s">
        <v>74</v>
      </c>
      <c r="BB779">
        <v>1974</v>
      </c>
      <c r="BC779">
        <v>1982</v>
      </c>
      <c r="BD779" t="s">
        <v>74</v>
      </c>
      <c r="BE779" t="s">
        <v>10535</v>
      </c>
      <c r="BF779" t="str">
        <f>HYPERLINK("http://dx.doi.org/10.1128/JB.183.6.1974-1982.2001","http://dx.doi.org/10.1128/JB.183.6.1974-1982.2001")</f>
        <v>http://dx.doi.org/10.1128/JB.183.6.1974-1982.2001</v>
      </c>
      <c r="BG779" t="s">
        <v>74</v>
      </c>
      <c r="BH779" t="s">
        <v>74</v>
      </c>
      <c r="BI779">
        <v>9</v>
      </c>
      <c r="BJ779" t="s">
        <v>1196</v>
      </c>
      <c r="BK779" t="s">
        <v>88</v>
      </c>
      <c r="BL779" t="s">
        <v>1196</v>
      </c>
      <c r="BM779" t="s">
        <v>10536</v>
      </c>
      <c r="BN779">
        <v>11222595</v>
      </c>
      <c r="BO779" t="s">
        <v>761</v>
      </c>
      <c r="BP779" t="s">
        <v>74</v>
      </c>
      <c r="BQ779" t="s">
        <v>74</v>
      </c>
      <c r="BR779" t="s">
        <v>91</v>
      </c>
      <c r="BS779" t="s">
        <v>10537</v>
      </c>
      <c r="BT779" t="str">
        <f>HYPERLINK("https%3A%2F%2Fwww.webofscience.com%2Fwos%2Fwoscc%2Ffull-record%2FWOS:000167261300016","View Full Record in Web of Science")</f>
        <v>View Full Record in Web of Science</v>
      </c>
    </row>
    <row r="780" spans="1:72" x14ac:dyDescent="0.15">
      <c r="A780" t="s">
        <v>72</v>
      </c>
      <c r="B780" t="s">
        <v>10538</v>
      </c>
      <c r="C780" t="s">
        <v>74</v>
      </c>
      <c r="D780" t="s">
        <v>74</v>
      </c>
      <c r="E780" t="s">
        <v>74</v>
      </c>
      <c r="F780" t="s">
        <v>10538</v>
      </c>
      <c r="G780" t="s">
        <v>74</v>
      </c>
      <c r="H780" t="s">
        <v>74</v>
      </c>
      <c r="I780" t="s">
        <v>10539</v>
      </c>
      <c r="J780" t="s">
        <v>9433</v>
      </c>
      <c r="K780" t="s">
        <v>74</v>
      </c>
      <c r="L780" t="s">
        <v>74</v>
      </c>
      <c r="M780" t="s">
        <v>77</v>
      </c>
      <c r="N780" t="s">
        <v>120</v>
      </c>
      <c r="O780" t="s">
        <v>74</v>
      </c>
      <c r="P780" t="s">
        <v>74</v>
      </c>
      <c r="Q780" t="s">
        <v>74</v>
      </c>
      <c r="R780" t="s">
        <v>74</v>
      </c>
      <c r="S780" t="s">
        <v>74</v>
      </c>
      <c r="T780" t="s">
        <v>10540</v>
      </c>
      <c r="U780" t="s">
        <v>10541</v>
      </c>
      <c r="V780" t="s">
        <v>10542</v>
      </c>
      <c r="W780" t="s">
        <v>10543</v>
      </c>
      <c r="X780" t="s">
        <v>10544</v>
      </c>
      <c r="Y780" t="s">
        <v>10545</v>
      </c>
      <c r="Z780" t="s">
        <v>74</v>
      </c>
      <c r="AA780" t="s">
        <v>74</v>
      </c>
      <c r="AB780" t="s">
        <v>74</v>
      </c>
      <c r="AC780" t="s">
        <v>74</v>
      </c>
      <c r="AD780" t="s">
        <v>74</v>
      </c>
      <c r="AE780" t="s">
        <v>74</v>
      </c>
      <c r="AF780" t="s">
        <v>74</v>
      </c>
      <c r="AG780">
        <v>48</v>
      </c>
      <c r="AH780">
        <v>94</v>
      </c>
      <c r="AI780">
        <v>105</v>
      </c>
      <c r="AJ780">
        <v>0</v>
      </c>
      <c r="AK780">
        <v>18</v>
      </c>
      <c r="AL780" t="s">
        <v>1080</v>
      </c>
      <c r="AM780" t="s">
        <v>80</v>
      </c>
      <c r="AN780" t="s">
        <v>1081</v>
      </c>
      <c r="AO780" t="s">
        <v>9440</v>
      </c>
      <c r="AP780" t="s">
        <v>74</v>
      </c>
      <c r="AQ780" t="s">
        <v>74</v>
      </c>
      <c r="AR780" t="s">
        <v>9442</v>
      </c>
      <c r="AS780" t="s">
        <v>9443</v>
      </c>
      <c r="AT780" t="s">
        <v>10127</v>
      </c>
      <c r="AU780">
        <v>2001</v>
      </c>
      <c r="AV780">
        <v>28</v>
      </c>
      <c r="AW780">
        <v>3</v>
      </c>
      <c r="AX780" t="s">
        <v>74</v>
      </c>
      <c r="AY780" t="s">
        <v>74</v>
      </c>
      <c r="AZ780" t="s">
        <v>74</v>
      </c>
      <c r="BA780" t="s">
        <v>74</v>
      </c>
      <c r="BB780">
        <v>285</v>
      </c>
      <c r="BC780">
        <v>291</v>
      </c>
      <c r="BD780" t="s">
        <v>74</v>
      </c>
      <c r="BE780" t="s">
        <v>10546</v>
      </c>
      <c r="BF780" t="str">
        <f>HYPERLINK("http://dx.doi.org/10.1046/j.1365-2699.2001.00518.x","http://dx.doi.org/10.1046/j.1365-2699.2001.00518.x")</f>
        <v>http://dx.doi.org/10.1046/j.1365-2699.2001.00518.x</v>
      </c>
      <c r="BG780" t="s">
        <v>74</v>
      </c>
      <c r="BH780" t="s">
        <v>74</v>
      </c>
      <c r="BI780">
        <v>7</v>
      </c>
      <c r="BJ780" t="s">
        <v>9444</v>
      </c>
      <c r="BK780" t="s">
        <v>88</v>
      </c>
      <c r="BL780" t="s">
        <v>799</v>
      </c>
      <c r="BM780" t="s">
        <v>10547</v>
      </c>
      <c r="BN780" t="s">
        <v>74</v>
      </c>
      <c r="BO780" t="s">
        <v>171</v>
      </c>
      <c r="BP780" t="s">
        <v>74</v>
      </c>
      <c r="BQ780" t="s">
        <v>74</v>
      </c>
      <c r="BR780" t="s">
        <v>91</v>
      </c>
      <c r="BS780" t="s">
        <v>10548</v>
      </c>
      <c r="BT780" t="str">
        <f>HYPERLINK("https%3A%2F%2Fwww.webofscience.com%2Fwos%2Fwoscc%2Ffull-record%2FWOS:000169689800001","View Full Record in Web of Science")</f>
        <v>View Full Record in Web of Science</v>
      </c>
    </row>
    <row r="781" spans="1:72" x14ac:dyDescent="0.15">
      <c r="A781" t="s">
        <v>72</v>
      </c>
      <c r="B781" t="s">
        <v>10549</v>
      </c>
      <c r="C781" t="s">
        <v>74</v>
      </c>
      <c r="D781" t="s">
        <v>74</v>
      </c>
      <c r="E781" t="s">
        <v>74</v>
      </c>
      <c r="F781" t="s">
        <v>10549</v>
      </c>
      <c r="G781" t="s">
        <v>74</v>
      </c>
      <c r="H781" t="s">
        <v>74</v>
      </c>
      <c r="I781" t="s">
        <v>10550</v>
      </c>
      <c r="J781" t="s">
        <v>9433</v>
      </c>
      <c r="K781" t="s">
        <v>74</v>
      </c>
      <c r="L781" t="s">
        <v>74</v>
      </c>
      <c r="M781" t="s">
        <v>77</v>
      </c>
      <c r="N781" t="s">
        <v>120</v>
      </c>
      <c r="O781" t="s">
        <v>74</v>
      </c>
      <c r="P781" t="s">
        <v>74</v>
      </c>
      <c r="Q781" t="s">
        <v>74</v>
      </c>
      <c r="R781" t="s">
        <v>74</v>
      </c>
      <c r="S781" t="s">
        <v>74</v>
      </c>
      <c r="T781" t="s">
        <v>10551</v>
      </c>
      <c r="U781" t="s">
        <v>10552</v>
      </c>
      <c r="V781" t="s">
        <v>10553</v>
      </c>
      <c r="W781" t="s">
        <v>10554</v>
      </c>
      <c r="X781" t="s">
        <v>10555</v>
      </c>
      <c r="Y781" t="s">
        <v>10556</v>
      </c>
      <c r="Z781" t="s">
        <v>74</v>
      </c>
      <c r="AA781" t="s">
        <v>10557</v>
      </c>
      <c r="AB781" t="s">
        <v>10558</v>
      </c>
      <c r="AC781" t="s">
        <v>74</v>
      </c>
      <c r="AD781" t="s">
        <v>74</v>
      </c>
      <c r="AE781" t="s">
        <v>74</v>
      </c>
      <c r="AF781" t="s">
        <v>74</v>
      </c>
      <c r="AG781">
        <v>38</v>
      </c>
      <c r="AH781">
        <v>31</v>
      </c>
      <c r="AI781">
        <v>32</v>
      </c>
      <c r="AJ781">
        <v>1</v>
      </c>
      <c r="AK781">
        <v>16</v>
      </c>
      <c r="AL781" t="s">
        <v>1080</v>
      </c>
      <c r="AM781" t="s">
        <v>80</v>
      </c>
      <c r="AN781" t="s">
        <v>1081</v>
      </c>
      <c r="AO781" t="s">
        <v>9440</v>
      </c>
      <c r="AP781" t="s">
        <v>74</v>
      </c>
      <c r="AQ781" t="s">
        <v>74</v>
      </c>
      <c r="AR781" t="s">
        <v>9442</v>
      </c>
      <c r="AS781" t="s">
        <v>9443</v>
      </c>
      <c r="AT781" t="s">
        <v>10127</v>
      </c>
      <c r="AU781">
        <v>2001</v>
      </c>
      <c r="AV781">
        <v>28</v>
      </c>
      <c r="AW781">
        <v>3</v>
      </c>
      <c r="AX781" t="s">
        <v>74</v>
      </c>
      <c r="AY781" t="s">
        <v>74</v>
      </c>
      <c r="AZ781" t="s">
        <v>74</v>
      </c>
      <c r="BA781" t="s">
        <v>74</v>
      </c>
      <c r="BB781">
        <v>305</v>
      </c>
      <c r="BC781">
        <v>316</v>
      </c>
      <c r="BD781" t="s">
        <v>74</v>
      </c>
      <c r="BE781" t="s">
        <v>10559</v>
      </c>
      <c r="BF781" t="str">
        <f>HYPERLINK("http://dx.doi.org/10.1046/j.1365-2699.2001.00546.x","http://dx.doi.org/10.1046/j.1365-2699.2001.00546.x")</f>
        <v>http://dx.doi.org/10.1046/j.1365-2699.2001.00546.x</v>
      </c>
      <c r="BG781" t="s">
        <v>74</v>
      </c>
      <c r="BH781" t="s">
        <v>74</v>
      </c>
      <c r="BI781">
        <v>12</v>
      </c>
      <c r="BJ781" t="s">
        <v>9444</v>
      </c>
      <c r="BK781" t="s">
        <v>88</v>
      </c>
      <c r="BL781" t="s">
        <v>799</v>
      </c>
      <c r="BM781" t="s">
        <v>10547</v>
      </c>
      <c r="BN781" t="s">
        <v>74</v>
      </c>
      <c r="BO781" t="s">
        <v>74</v>
      </c>
      <c r="BP781" t="s">
        <v>74</v>
      </c>
      <c r="BQ781" t="s">
        <v>74</v>
      </c>
      <c r="BR781" t="s">
        <v>91</v>
      </c>
      <c r="BS781" t="s">
        <v>10560</v>
      </c>
      <c r="BT781" t="str">
        <f>HYPERLINK("https%3A%2F%2Fwww.webofscience.com%2Fwos%2Fwoscc%2Ffull-record%2FWOS:000169689800003","View Full Record in Web of Science")</f>
        <v>View Full Record in Web of Science</v>
      </c>
    </row>
    <row r="782" spans="1:72" x14ac:dyDescent="0.15">
      <c r="A782" t="s">
        <v>72</v>
      </c>
      <c r="B782" t="s">
        <v>10561</v>
      </c>
      <c r="C782" t="s">
        <v>74</v>
      </c>
      <c r="D782" t="s">
        <v>74</v>
      </c>
      <c r="E782" t="s">
        <v>74</v>
      </c>
      <c r="F782" t="s">
        <v>10561</v>
      </c>
      <c r="G782" t="s">
        <v>74</v>
      </c>
      <c r="H782" t="s">
        <v>74</v>
      </c>
      <c r="I782" t="s">
        <v>10562</v>
      </c>
      <c r="J782" t="s">
        <v>9433</v>
      </c>
      <c r="K782" t="s">
        <v>74</v>
      </c>
      <c r="L782" t="s">
        <v>74</v>
      </c>
      <c r="M782" t="s">
        <v>77</v>
      </c>
      <c r="N782" t="s">
        <v>120</v>
      </c>
      <c r="O782" t="s">
        <v>74</v>
      </c>
      <c r="P782" t="s">
        <v>74</v>
      </c>
      <c r="Q782" t="s">
        <v>74</v>
      </c>
      <c r="R782" t="s">
        <v>74</v>
      </c>
      <c r="S782" t="s">
        <v>74</v>
      </c>
      <c r="T782" t="s">
        <v>10563</v>
      </c>
      <c r="U782" t="s">
        <v>10564</v>
      </c>
      <c r="V782" t="s">
        <v>10565</v>
      </c>
      <c r="W782" t="s">
        <v>10566</v>
      </c>
      <c r="X782" t="s">
        <v>10567</v>
      </c>
      <c r="Y782" t="s">
        <v>10568</v>
      </c>
      <c r="Z782" t="s">
        <v>10569</v>
      </c>
      <c r="AA782" t="s">
        <v>74</v>
      </c>
      <c r="AB782" t="s">
        <v>400</v>
      </c>
      <c r="AC782" t="s">
        <v>74</v>
      </c>
      <c r="AD782" t="s">
        <v>74</v>
      </c>
      <c r="AE782" t="s">
        <v>74</v>
      </c>
      <c r="AF782" t="s">
        <v>74</v>
      </c>
      <c r="AG782">
        <v>32</v>
      </c>
      <c r="AH782">
        <v>26</v>
      </c>
      <c r="AI782">
        <v>26</v>
      </c>
      <c r="AJ782">
        <v>1</v>
      </c>
      <c r="AK782">
        <v>14</v>
      </c>
      <c r="AL782" t="s">
        <v>1247</v>
      </c>
      <c r="AM782" t="s">
        <v>1248</v>
      </c>
      <c r="AN782" t="s">
        <v>1249</v>
      </c>
      <c r="AO782" t="s">
        <v>9440</v>
      </c>
      <c r="AP782" t="s">
        <v>9441</v>
      </c>
      <c r="AQ782" t="s">
        <v>74</v>
      </c>
      <c r="AR782" t="s">
        <v>9442</v>
      </c>
      <c r="AS782" t="s">
        <v>9443</v>
      </c>
      <c r="AT782" t="s">
        <v>10127</v>
      </c>
      <c r="AU782">
        <v>2001</v>
      </c>
      <c r="AV782">
        <v>28</v>
      </c>
      <c r="AW782">
        <v>3</v>
      </c>
      <c r="AX782" t="s">
        <v>74</v>
      </c>
      <c r="AY782" t="s">
        <v>74</v>
      </c>
      <c r="AZ782" t="s">
        <v>74</v>
      </c>
      <c r="BA782" t="s">
        <v>74</v>
      </c>
      <c r="BB782">
        <v>359</v>
      </c>
      <c r="BC782">
        <v>365</v>
      </c>
      <c r="BD782" t="s">
        <v>74</v>
      </c>
      <c r="BE782" t="s">
        <v>10570</v>
      </c>
      <c r="BF782" t="str">
        <f>HYPERLINK("http://dx.doi.org/10.1046/j.1365-2699.2001.00562.x","http://dx.doi.org/10.1046/j.1365-2699.2001.00562.x")</f>
        <v>http://dx.doi.org/10.1046/j.1365-2699.2001.00562.x</v>
      </c>
      <c r="BG782" t="s">
        <v>74</v>
      </c>
      <c r="BH782" t="s">
        <v>74</v>
      </c>
      <c r="BI782">
        <v>7</v>
      </c>
      <c r="BJ782" t="s">
        <v>9444</v>
      </c>
      <c r="BK782" t="s">
        <v>88</v>
      </c>
      <c r="BL782" t="s">
        <v>799</v>
      </c>
      <c r="BM782" t="s">
        <v>10547</v>
      </c>
      <c r="BN782" t="s">
        <v>74</v>
      </c>
      <c r="BO782" t="s">
        <v>74</v>
      </c>
      <c r="BP782" t="s">
        <v>74</v>
      </c>
      <c r="BQ782" t="s">
        <v>74</v>
      </c>
      <c r="BR782" t="s">
        <v>91</v>
      </c>
      <c r="BS782" t="s">
        <v>10571</v>
      </c>
      <c r="BT782" t="str">
        <f>HYPERLINK("https%3A%2F%2Fwww.webofscience.com%2Fwos%2Fwoscc%2Ffull-record%2FWOS:000169689800007","View Full Record in Web of Science")</f>
        <v>View Full Record in Web of Science</v>
      </c>
    </row>
    <row r="783" spans="1:72" x14ac:dyDescent="0.15">
      <c r="A783" t="s">
        <v>72</v>
      </c>
      <c r="B783" t="s">
        <v>10572</v>
      </c>
      <c r="C783" t="s">
        <v>74</v>
      </c>
      <c r="D783" t="s">
        <v>74</v>
      </c>
      <c r="E783" t="s">
        <v>74</v>
      </c>
      <c r="F783" t="s">
        <v>10572</v>
      </c>
      <c r="G783" t="s">
        <v>74</v>
      </c>
      <c r="H783" t="s">
        <v>74</v>
      </c>
      <c r="I783" t="s">
        <v>10573</v>
      </c>
      <c r="J783" t="s">
        <v>8373</v>
      </c>
      <c r="K783" t="s">
        <v>74</v>
      </c>
      <c r="L783" t="s">
        <v>74</v>
      </c>
      <c r="M783" t="s">
        <v>77</v>
      </c>
      <c r="N783" t="s">
        <v>120</v>
      </c>
      <c r="O783" t="s">
        <v>74</v>
      </c>
      <c r="P783" t="s">
        <v>74</v>
      </c>
      <c r="Q783" t="s">
        <v>74</v>
      </c>
      <c r="R783" t="s">
        <v>74</v>
      </c>
      <c r="S783" t="s">
        <v>74</v>
      </c>
      <c r="T783" t="s">
        <v>10574</v>
      </c>
      <c r="U783" t="s">
        <v>10575</v>
      </c>
      <c r="V783" t="s">
        <v>10576</v>
      </c>
      <c r="W783" t="s">
        <v>10577</v>
      </c>
      <c r="X783" t="s">
        <v>1206</v>
      </c>
      <c r="Y783" t="s">
        <v>10578</v>
      </c>
      <c r="Z783" t="s">
        <v>74</v>
      </c>
      <c r="AA783" t="s">
        <v>74</v>
      </c>
      <c r="AB783" t="s">
        <v>10579</v>
      </c>
      <c r="AC783" t="s">
        <v>74</v>
      </c>
      <c r="AD783" t="s">
        <v>74</v>
      </c>
      <c r="AE783" t="s">
        <v>74</v>
      </c>
      <c r="AF783" t="s">
        <v>74</v>
      </c>
      <c r="AG783">
        <v>29</v>
      </c>
      <c r="AH783">
        <v>11</v>
      </c>
      <c r="AI783">
        <v>11</v>
      </c>
      <c r="AJ783">
        <v>1</v>
      </c>
      <c r="AK783">
        <v>8</v>
      </c>
      <c r="AL783" t="s">
        <v>203</v>
      </c>
      <c r="AM783" t="s">
        <v>204</v>
      </c>
      <c r="AN783" t="s">
        <v>205</v>
      </c>
      <c r="AO783" t="s">
        <v>8382</v>
      </c>
      <c r="AP783" t="s">
        <v>74</v>
      </c>
      <c r="AQ783" t="s">
        <v>74</v>
      </c>
      <c r="AR783" t="s">
        <v>8383</v>
      </c>
      <c r="AS783" t="s">
        <v>8384</v>
      </c>
      <c r="AT783" t="s">
        <v>10127</v>
      </c>
      <c r="AU783">
        <v>2001</v>
      </c>
      <c r="AV783">
        <v>171</v>
      </c>
      <c r="AW783">
        <v>2</v>
      </c>
      <c r="AX783" t="s">
        <v>74</v>
      </c>
      <c r="AY783" t="s">
        <v>74</v>
      </c>
      <c r="AZ783" t="s">
        <v>74</v>
      </c>
      <c r="BA783" t="s">
        <v>74</v>
      </c>
      <c r="BB783">
        <v>121</v>
      </c>
      <c r="BC783">
        <v>126</v>
      </c>
      <c r="BD783" t="s">
        <v>74</v>
      </c>
      <c r="BE783" t="s">
        <v>10580</v>
      </c>
      <c r="BF783" t="str">
        <f>HYPERLINK("http://dx.doi.org/10.1007/s003600000160","http://dx.doi.org/10.1007/s003600000160")</f>
        <v>http://dx.doi.org/10.1007/s003600000160</v>
      </c>
      <c r="BG783" t="s">
        <v>74</v>
      </c>
      <c r="BH783" t="s">
        <v>74</v>
      </c>
      <c r="BI783">
        <v>6</v>
      </c>
      <c r="BJ783" t="s">
        <v>8386</v>
      </c>
      <c r="BK783" t="s">
        <v>88</v>
      </c>
      <c r="BL783" t="s">
        <v>8386</v>
      </c>
      <c r="BM783" t="s">
        <v>10581</v>
      </c>
      <c r="BN783">
        <v>11302528</v>
      </c>
      <c r="BO783" t="s">
        <v>74</v>
      </c>
      <c r="BP783" t="s">
        <v>74</v>
      </c>
      <c r="BQ783" t="s">
        <v>74</v>
      </c>
      <c r="BR783" t="s">
        <v>91</v>
      </c>
      <c r="BS783" t="s">
        <v>10582</v>
      </c>
      <c r="BT783" t="str">
        <f>HYPERLINK("https%3A%2F%2Fwww.webofscience.com%2Fwos%2Fwoscc%2Ffull-record%2FWOS:000167408500005","View Full Record in Web of Science")</f>
        <v>View Full Record in Web of Science</v>
      </c>
    </row>
    <row r="784" spans="1:72" x14ac:dyDescent="0.15">
      <c r="A784" t="s">
        <v>72</v>
      </c>
      <c r="B784" t="s">
        <v>10583</v>
      </c>
      <c r="C784" t="s">
        <v>74</v>
      </c>
      <c r="D784" t="s">
        <v>74</v>
      </c>
      <c r="E784" t="s">
        <v>74</v>
      </c>
      <c r="F784" t="s">
        <v>10583</v>
      </c>
      <c r="G784" t="s">
        <v>74</v>
      </c>
      <c r="H784" t="s">
        <v>74</v>
      </c>
      <c r="I784" t="s">
        <v>10584</v>
      </c>
      <c r="J784" t="s">
        <v>8405</v>
      </c>
      <c r="K784" t="s">
        <v>74</v>
      </c>
      <c r="L784" t="s">
        <v>74</v>
      </c>
      <c r="M784" t="s">
        <v>77</v>
      </c>
      <c r="N784" t="s">
        <v>120</v>
      </c>
      <c r="O784" t="s">
        <v>74</v>
      </c>
      <c r="P784" t="s">
        <v>74</v>
      </c>
      <c r="Q784" t="s">
        <v>74</v>
      </c>
      <c r="R784" t="s">
        <v>74</v>
      </c>
      <c r="S784" t="s">
        <v>74</v>
      </c>
      <c r="T784" t="s">
        <v>10585</v>
      </c>
      <c r="U784" t="s">
        <v>74</v>
      </c>
      <c r="V784" t="s">
        <v>10586</v>
      </c>
      <c r="W784" t="s">
        <v>10587</v>
      </c>
      <c r="X784" t="s">
        <v>10588</v>
      </c>
      <c r="Y784" t="s">
        <v>5094</v>
      </c>
      <c r="Z784" t="s">
        <v>74</v>
      </c>
      <c r="AA784" t="s">
        <v>10589</v>
      </c>
      <c r="AB784" t="s">
        <v>10590</v>
      </c>
      <c r="AC784" t="s">
        <v>74</v>
      </c>
      <c r="AD784" t="s">
        <v>74</v>
      </c>
      <c r="AE784" t="s">
        <v>74</v>
      </c>
      <c r="AF784" t="s">
        <v>74</v>
      </c>
      <c r="AG784">
        <v>11</v>
      </c>
      <c r="AH784">
        <v>70</v>
      </c>
      <c r="AI784">
        <v>78</v>
      </c>
      <c r="AJ784">
        <v>1</v>
      </c>
      <c r="AK784">
        <v>14</v>
      </c>
      <c r="AL784" t="s">
        <v>203</v>
      </c>
      <c r="AM784" t="s">
        <v>204</v>
      </c>
      <c r="AN784" t="s">
        <v>205</v>
      </c>
      <c r="AO784" t="s">
        <v>8411</v>
      </c>
      <c r="AP784" t="s">
        <v>74</v>
      </c>
      <c r="AQ784" t="s">
        <v>74</v>
      </c>
      <c r="AR784" t="s">
        <v>8412</v>
      </c>
      <c r="AS784" t="s">
        <v>8413</v>
      </c>
      <c r="AT784" t="s">
        <v>10127</v>
      </c>
      <c r="AU784">
        <v>2001</v>
      </c>
      <c r="AV784">
        <v>74</v>
      </c>
      <c r="AW784" t="s">
        <v>10591</v>
      </c>
      <c r="AX784" t="s">
        <v>74</v>
      </c>
      <c r="AY784" t="s">
        <v>74</v>
      </c>
      <c r="AZ784" t="s">
        <v>74</v>
      </c>
      <c r="BA784" t="s">
        <v>74</v>
      </c>
      <c r="BB784">
        <v>756</v>
      </c>
      <c r="BC784">
        <v>766</v>
      </c>
      <c r="BD784" t="s">
        <v>74</v>
      </c>
      <c r="BE784" t="s">
        <v>10592</v>
      </c>
      <c r="BF784" t="str">
        <f>HYPERLINK("http://dx.doi.org/10.1007/s001900000147","http://dx.doi.org/10.1007/s001900000147")</f>
        <v>http://dx.doi.org/10.1007/s001900000147</v>
      </c>
      <c r="BG784" t="s">
        <v>74</v>
      </c>
      <c r="BH784" t="s">
        <v>74</v>
      </c>
      <c r="BI784">
        <v>11</v>
      </c>
      <c r="BJ784" t="s">
        <v>8415</v>
      </c>
      <c r="BK784" t="s">
        <v>88</v>
      </c>
      <c r="BL784" t="s">
        <v>8415</v>
      </c>
      <c r="BM784" t="s">
        <v>10593</v>
      </c>
      <c r="BN784" t="s">
        <v>74</v>
      </c>
      <c r="BO784" t="s">
        <v>74</v>
      </c>
      <c r="BP784" t="s">
        <v>74</v>
      </c>
      <c r="BQ784" t="s">
        <v>74</v>
      </c>
      <c r="BR784" t="s">
        <v>91</v>
      </c>
      <c r="BS784" t="s">
        <v>10594</v>
      </c>
      <c r="BT784" t="str">
        <f>HYPERLINK("https%3A%2F%2Fwww.webofscience.com%2Fwos%2Fwoscc%2Ffull-record%2FWOS:000168388900002","View Full Record in Web of Science")</f>
        <v>View Full Record in Web of Science</v>
      </c>
    </row>
    <row r="785" spans="1:72" x14ac:dyDescent="0.15">
      <c r="A785" t="s">
        <v>72</v>
      </c>
      <c r="B785" t="s">
        <v>10595</v>
      </c>
      <c r="C785" t="s">
        <v>74</v>
      </c>
      <c r="D785" t="s">
        <v>74</v>
      </c>
      <c r="E785" t="s">
        <v>74</v>
      </c>
      <c r="F785" t="s">
        <v>10595</v>
      </c>
      <c r="G785" t="s">
        <v>74</v>
      </c>
      <c r="H785" t="s">
        <v>74</v>
      </c>
      <c r="I785" t="s">
        <v>10596</v>
      </c>
      <c r="J785" t="s">
        <v>10597</v>
      </c>
      <c r="K785" t="s">
        <v>74</v>
      </c>
      <c r="L785" t="s">
        <v>74</v>
      </c>
      <c r="M785" t="s">
        <v>77</v>
      </c>
      <c r="N785" t="s">
        <v>96</v>
      </c>
      <c r="O785" t="s">
        <v>74</v>
      </c>
      <c r="P785" t="s">
        <v>74</v>
      </c>
      <c r="Q785" t="s">
        <v>74</v>
      </c>
      <c r="R785" t="s">
        <v>74</v>
      </c>
      <c r="S785" t="s">
        <v>74</v>
      </c>
      <c r="T785" t="s">
        <v>74</v>
      </c>
      <c r="U785" t="s">
        <v>10598</v>
      </c>
      <c r="V785" t="s">
        <v>10599</v>
      </c>
      <c r="W785" t="s">
        <v>10600</v>
      </c>
      <c r="X785" t="s">
        <v>10601</v>
      </c>
      <c r="Y785" t="s">
        <v>10602</v>
      </c>
      <c r="Z785" t="s">
        <v>10603</v>
      </c>
      <c r="AA785" t="s">
        <v>10604</v>
      </c>
      <c r="AB785" t="s">
        <v>10605</v>
      </c>
      <c r="AC785" t="s">
        <v>74</v>
      </c>
      <c r="AD785" t="s">
        <v>74</v>
      </c>
      <c r="AE785" t="s">
        <v>74</v>
      </c>
      <c r="AF785" t="s">
        <v>74</v>
      </c>
      <c r="AG785">
        <v>110</v>
      </c>
      <c r="AH785">
        <v>1171</v>
      </c>
      <c r="AI785">
        <v>1350</v>
      </c>
      <c r="AJ785">
        <v>17</v>
      </c>
      <c r="AK785">
        <v>181</v>
      </c>
      <c r="AL785" t="s">
        <v>10606</v>
      </c>
      <c r="AM785" t="s">
        <v>10607</v>
      </c>
      <c r="AN785" t="s">
        <v>10608</v>
      </c>
      <c r="AO785" t="s">
        <v>10609</v>
      </c>
      <c r="AP785" t="s">
        <v>74</v>
      </c>
      <c r="AQ785" t="s">
        <v>74</v>
      </c>
      <c r="AR785" t="s">
        <v>10610</v>
      </c>
      <c r="AS785" t="s">
        <v>10611</v>
      </c>
      <c r="AT785" t="s">
        <v>10127</v>
      </c>
      <c r="AU785">
        <v>2001</v>
      </c>
      <c r="AV785">
        <v>109</v>
      </c>
      <c r="AW785">
        <v>2</v>
      </c>
      <c r="AX785" t="s">
        <v>74</v>
      </c>
      <c r="AY785" t="s">
        <v>74</v>
      </c>
      <c r="AZ785" t="s">
        <v>74</v>
      </c>
      <c r="BA785" t="s">
        <v>74</v>
      </c>
      <c r="BB785">
        <v>155</v>
      </c>
      <c r="BC785">
        <v>170</v>
      </c>
      <c r="BD785" t="s">
        <v>74</v>
      </c>
      <c r="BE785" t="s">
        <v>10612</v>
      </c>
      <c r="BF785" t="str">
        <f>HYPERLINK("http://dx.doi.org/10.1086/319243","http://dx.doi.org/10.1086/319243")</f>
        <v>http://dx.doi.org/10.1086/319243</v>
      </c>
      <c r="BG785" t="s">
        <v>74</v>
      </c>
      <c r="BH785" t="s">
        <v>74</v>
      </c>
      <c r="BI785">
        <v>16</v>
      </c>
      <c r="BJ785" t="s">
        <v>113</v>
      </c>
      <c r="BK785" t="s">
        <v>88</v>
      </c>
      <c r="BL785" t="s">
        <v>113</v>
      </c>
      <c r="BM785" t="s">
        <v>10613</v>
      </c>
      <c r="BN785" t="s">
        <v>74</v>
      </c>
      <c r="BO785" t="s">
        <v>761</v>
      </c>
      <c r="BP785" t="s">
        <v>74</v>
      </c>
      <c r="BQ785" t="s">
        <v>74</v>
      </c>
      <c r="BR785" t="s">
        <v>91</v>
      </c>
      <c r="BS785" t="s">
        <v>10614</v>
      </c>
      <c r="BT785" t="str">
        <f>HYPERLINK("https%3A%2F%2Fwww.webofscience.com%2Fwos%2Fwoscc%2Ffull-record%2FWOS:000167209000002","View Full Record in Web of Science")</f>
        <v>View Full Record in Web of Science</v>
      </c>
    </row>
    <row r="786" spans="1:72" x14ac:dyDescent="0.15">
      <c r="A786" t="s">
        <v>72</v>
      </c>
      <c r="B786" t="s">
        <v>10615</v>
      </c>
      <c r="C786" t="s">
        <v>74</v>
      </c>
      <c r="D786" t="s">
        <v>74</v>
      </c>
      <c r="E786" t="s">
        <v>74</v>
      </c>
      <c r="F786" t="s">
        <v>10615</v>
      </c>
      <c r="G786" t="s">
        <v>74</v>
      </c>
      <c r="H786" t="s">
        <v>74</v>
      </c>
      <c r="I786" t="s">
        <v>10616</v>
      </c>
      <c r="J786" t="s">
        <v>10597</v>
      </c>
      <c r="K786" t="s">
        <v>74</v>
      </c>
      <c r="L786" t="s">
        <v>74</v>
      </c>
      <c r="M786" t="s">
        <v>77</v>
      </c>
      <c r="N786" t="s">
        <v>120</v>
      </c>
      <c r="O786" t="s">
        <v>74</v>
      </c>
      <c r="P786" t="s">
        <v>74</v>
      </c>
      <c r="Q786" t="s">
        <v>74</v>
      </c>
      <c r="R786" t="s">
        <v>74</v>
      </c>
      <c r="S786" t="s">
        <v>74</v>
      </c>
      <c r="T786" t="s">
        <v>74</v>
      </c>
      <c r="U786" t="s">
        <v>10617</v>
      </c>
      <c r="V786" t="s">
        <v>10618</v>
      </c>
      <c r="W786" t="s">
        <v>10619</v>
      </c>
      <c r="X786" t="s">
        <v>10620</v>
      </c>
      <c r="Y786" t="s">
        <v>10621</v>
      </c>
      <c r="Z786" t="s">
        <v>10622</v>
      </c>
      <c r="AA786" t="s">
        <v>74</v>
      </c>
      <c r="AB786" t="s">
        <v>74</v>
      </c>
      <c r="AC786" t="s">
        <v>74</v>
      </c>
      <c r="AD786" t="s">
        <v>74</v>
      </c>
      <c r="AE786" t="s">
        <v>74</v>
      </c>
      <c r="AF786" t="s">
        <v>74</v>
      </c>
      <c r="AG786">
        <v>20</v>
      </c>
      <c r="AH786">
        <v>15</v>
      </c>
      <c r="AI786">
        <v>17</v>
      </c>
      <c r="AJ786">
        <v>0</v>
      </c>
      <c r="AK786">
        <v>3</v>
      </c>
      <c r="AL786" t="s">
        <v>10606</v>
      </c>
      <c r="AM786" t="s">
        <v>10607</v>
      </c>
      <c r="AN786" t="s">
        <v>10608</v>
      </c>
      <c r="AO786" t="s">
        <v>10609</v>
      </c>
      <c r="AP786" t="s">
        <v>10623</v>
      </c>
      <c r="AQ786" t="s">
        <v>74</v>
      </c>
      <c r="AR786" t="s">
        <v>10610</v>
      </c>
      <c r="AS786" t="s">
        <v>10611</v>
      </c>
      <c r="AT786" t="s">
        <v>10127</v>
      </c>
      <c r="AU786">
        <v>2001</v>
      </c>
      <c r="AV786">
        <v>109</v>
      </c>
      <c r="AW786">
        <v>2</v>
      </c>
      <c r="AX786" t="s">
        <v>74</v>
      </c>
      <c r="AY786" t="s">
        <v>74</v>
      </c>
      <c r="AZ786" t="s">
        <v>74</v>
      </c>
      <c r="BA786" t="s">
        <v>74</v>
      </c>
      <c r="BB786">
        <v>213</v>
      </c>
      <c r="BC786">
        <v>229</v>
      </c>
      <c r="BD786" t="s">
        <v>74</v>
      </c>
      <c r="BE786" t="s">
        <v>10624</v>
      </c>
      <c r="BF786" t="str">
        <f>HYPERLINK("http://dx.doi.org/10.1086/319239","http://dx.doi.org/10.1086/319239")</f>
        <v>http://dx.doi.org/10.1086/319239</v>
      </c>
      <c r="BG786" t="s">
        <v>74</v>
      </c>
      <c r="BH786" t="s">
        <v>74</v>
      </c>
      <c r="BI786">
        <v>17</v>
      </c>
      <c r="BJ786" t="s">
        <v>113</v>
      </c>
      <c r="BK786" t="s">
        <v>88</v>
      </c>
      <c r="BL786" t="s">
        <v>113</v>
      </c>
      <c r="BM786" t="s">
        <v>10613</v>
      </c>
      <c r="BN786" t="s">
        <v>74</v>
      </c>
      <c r="BO786" t="s">
        <v>74</v>
      </c>
      <c r="BP786" t="s">
        <v>74</v>
      </c>
      <c r="BQ786" t="s">
        <v>74</v>
      </c>
      <c r="BR786" t="s">
        <v>91</v>
      </c>
      <c r="BS786" t="s">
        <v>10625</v>
      </c>
      <c r="BT786" t="str">
        <f>HYPERLINK("https%3A%2F%2Fwww.webofscience.com%2Fwos%2Fwoscc%2Ffull-record%2FWOS:000167209000005","View Full Record in Web of Science")</f>
        <v>View Full Record in Web of Science</v>
      </c>
    </row>
    <row r="787" spans="1:72" x14ac:dyDescent="0.15">
      <c r="A787" t="s">
        <v>72</v>
      </c>
      <c r="B787" t="s">
        <v>10626</v>
      </c>
      <c r="C787" t="s">
        <v>74</v>
      </c>
      <c r="D787" t="s">
        <v>74</v>
      </c>
      <c r="E787" t="s">
        <v>74</v>
      </c>
      <c r="F787" t="s">
        <v>10626</v>
      </c>
      <c r="G787" t="s">
        <v>74</v>
      </c>
      <c r="H787" t="s">
        <v>74</v>
      </c>
      <c r="I787" t="s">
        <v>10627</v>
      </c>
      <c r="J787" t="s">
        <v>10597</v>
      </c>
      <c r="K787" t="s">
        <v>74</v>
      </c>
      <c r="L787" t="s">
        <v>74</v>
      </c>
      <c r="M787" t="s">
        <v>77</v>
      </c>
      <c r="N787" t="s">
        <v>120</v>
      </c>
      <c r="O787" t="s">
        <v>74</v>
      </c>
      <c r="P787" t="s">
        <v>74</v>
      </c>
      <c r="Q787" t="s">
        <v>74</v>
      </c>
      <c r="R787" t="s">
        <v>74</v>
      </c>
      <c r="S787" t="s">
        <v>74</v>
      </c>
      <c r="T787" t="s">
        <v>74</v>
      </c>
      <c r="U787" t="s">
        <v>10628</v>
      </c>
      <c r="V787" t="s">
        <v>10629</v>
      </c>
      <c r="W787" t="s">
        <v>10630</v>
      </c>
      <c r="X787" t="s">
        <v>10631</v>
      </c>
      <c r="Y787" t="s">
        <v>10632</v>
      </c>
      <c r="Z787" t="s">
        <v>74</v>
      </c>
      <c r="AA787" t="s">
        <v>74</v>
      </c>
      <c r="AB787" t="s">
        <v>74</v>
      </c>
      <c r="AC787" t="s">
        <v>74</v>
      </c>
      <c r="AD787" t="s">
        <v>74</v>
      </c>
      <c r="AE787" t="s">
        <v>74</v>
      </c>
      <c r="AF787" t="s">
        <v>74</v>
      </c>
      <c r="AG787">
        <v>61</v>
      </c>
      <c r="AH787">
        <v>15</v>
      </c>
      <c r="AI787">
        <v>20</v>
      </c>
      <c r="AJ787">
        <v>0</v>
      </c>
      <c r="AK787">
        <v>3</v>
      </c>
      <c r="AL787" t="s">
        <v>10606</v>
      </c>
      <c r="AM787" t="s">
        <v>10607</v>
      </c>
      <c r="AN787" t="s">
        <v>10608</v>
      </c>
      <c r="AO787" t="s">
        <v>10609</v>
      </c>
      <c r="AP787" t="s">
        <v>74</v>
      </c>
      <c r="AQ787" t="s">
        <v>74</v>
      </c>
      <c r="AR787" t="s">
        <v>10610</v>
      </c>
      <c r="AS787" t="s">
        <v>10611</v>
      </c>
      <c r="AT787" t="s">
        <v>10127</v>
      </c>
      <c r="AU787">
        <v>2001</v>
      </c>
      <c r="AV787">
        <v>109</v>
      </c>
      <c r="AW787">
        <v>2</v>
      </c>
      <c r="AX787" t="s">
        <v>74</v>
      </c>
      <c r="AY787" t="s">
        <v>74</v>
      </c>
      <c r="AZ787" t="s">
        <v>74</v>
      </c>
      <c r="BA787" t="s">
        <v>74</v>
      </c>
      <c r="BB787">
        <v>265</v>
      </c>
      <c r="BC787">
        <v>276</v>
      </c>
      <c r="BD787" t="s">
        <v>74</v>
      </c>
      <c r="BE787" t="s">
        <v>10633</v>
      </c>
      <c r="BF787" t="str">
        <f>HYPERLINK("http://dx.doi.org/10.1086/319242","http://dx.doi.org/10.1086/319242")</f>
        <v>http://dx.doi.org/10.1086/319242</v>
      </c>
      <c r="BG787" t="s">
        <v>74</v>
      </c>
      <c r="BH787" t="s">
        <v>74</v>
      </c>
      <c r="BI787">
        <v>12</v>
      </c>
      <c r="BJ787" t="s">
        <v>113</v>
      </c>
      <c r="BK787" t="s">
        <v>88</v>
      </c>
      <c r="BL787" t="s">
        <v>113</v>
      </c>
      <c r="BM787" t="s">
        <v>10613</v>
      </c>
      <c r="BN787" t="s">
        <v>74</v>
      </c>
      <c r="BO787" t="s">
        <v>74</v>
      </c>
      <c r="BP787" t="s">
        <v>74</v>
      </c>
      <c r="BQ787" t="s">
        <v>74</v>
      </c>
      <c r="BR787" t="s">
        <v>91</v>
      </c>
      <c r="BS787" t="s">
        <v>10634</v>
      </c>
      <c r="BT787" t="str">
        <f>HYPERLINK("https%3A%2F%2Fwww.webofscience.com%2Fwos%2Fwoscc%2Ffull-record%2FWOS:000167209000008","View Full Record in Web of Science")</f>
        <v>View Full Record in Web of Science</v>
      </c>
    </row>
    <row r="788" spans="1:72" x14ac:dyDescent="0.15">
      <c r="A788" t="s">
        <v>72</v>
      </c>
      <c r="B788" t="s">
        <v>10635</v>
      </c>
      <c r="C788" t="s">
        <v>74</v>
      </c>
      <c r="D788" t="s">
        <v>74</v>
      </c>
      <c r="E788" t="s">
        <v>74</v>
      </c>
      <c r="F788" t="s">
        <v>10635</v>
      </c>
      <c r="G788" t="s">
        <v>74</v>
      </c>
      <c r="H788" t="s">
        <v>74</v>
      </c>
      <c r="I788" t="s">
        <v>10636</v>
      </c>
      <c r="J788" t="s">
        <v>10637</v>
      </c>
      <c r="K788" t="s">
        <v>74</v>
      </c>
      <c r="L788" t="s">
        <v>74</v>
      </c>
      <c r="M788" t="s">
        <v>77</v>
      </c>
      <c r="N788" t="s">
        <v>120</v>
      </c>
      <c r="O788" t="s">
        <v>74</v>
      </c>
      <c r="P788" t="s">
        <v>74</v>
      </c>
      <c r="Q788" t="s">
        <v>74</v>
      </c>
      <c r="R788" t="s">
        <v>74</v>
      </c>
      <c r="S788" t="s">
        <v>74</v>
      </c>
      <c r="T788" t="s">
        <v>74</v>
      </c>
      <c r="U788" t="s">
        <v>10638</v>
      </c>
      <c r="V788" t="s">
        <v>10639</v>
      </c>
      <c r="W788" t="s">
        <v>10640</v>
      </c>
      <c r="X788" t="s">
        <v>10641</v>
      </c>
      <c r="Y788" t="s">
        <v>10642</v>
      </c>
      <c r="Z788" t="s">
        <v>10643</v>
      </c>
      <c r="AA788" t="s">
        <v>10644</v>
      </c>
      <c r="AB788" t="s">
        <v>10645</v>
      </c>
      <c r="AC788" t="s">
        <v>74</v>
      </c>
      <c r="AD788" t="s">
        <v>74</v>
      </c>
      <c r="AE788" t="s">
        <v>74</v>
      </c>
      <c r="AF788" t="s">
        <v>74</v>
      </c>
      <c r="AG788">
        <v>48</v>
      </c>
      <c r="AH788">
        <v>42</v>
      </c>
      <c r="AI788">
        <v>48</v>
      </c>
      <c r="AJ788">
        <v>0</v>
      </c>
      <c r="AK788">
        <v>3</v>
      </c>
      <c r="AL788" t="s">
        <v>10646</v>
      </c>
      <c r="AM788" t="s">
        <v>10647</v>
      </c>
      <c r="AN788" t="s">
        <v>10648</v>
      </c>
      <c r="AO788" t="s">
        <v>10649</v>
      </c>
      <c r="AP788" t="s">
        <v>10650</v>
      </c>
      <c r="AQ788" t="s">
        <v>74</v>
      </c>
      <c r="AR788" t="s">
        <v>10651</v>
      </c>
      <c r="AS788" t="s">
        <v>10652</v>
      </c>
      <c r="AT788" t="s">
        <v>10127</v>
      </c>
      <c r="AU788">
        <v>2001</v>
      </c>
      <c r="AV788">
        <v>59</v>
      </c>
      <c r="AW788">
        <v>2</v>
      </c>
      <c r="AX788" t="s">
        <v>74</v>
      </c>
      <c r="AY788" t="s">
        <v>74</v>
      </c>
      <c r="AZ788" t="s">
        <v>74</v>
      </c>
      <c r="BA788" t="s">
        <v>74</v>
      </c>
      <c r="BB788">
        <v>257</v>
      </c>
      <c r="BC788">
        <v>279</v>
      </c>
      <c r="BD788" t="s">
        <v>74</v>
      </c>
      <c r="BE788" t="s">
        <v>10653</v>
      </c>
      <c r="BF788" t="str">
        <f>HYPERLINK("http://dx.doi.org/10.1357/002224001762882655","http://dx.doi.org/10.1357/002224001762882655")</f>
        <v>http://dx.doi.org/10.1357/002224001762882655</v>
      </c>
      <c r="BG788" t="s">
        <v>74</v>
      </c>
      <c r="BH788" t="s">
        <v>74</v>
      </c>
      <c r="BI788">
        <v>23</v>
      </c>
      <c r="BJ788" t="s">
        <v>668</v>
      </c>
      <c r="BK788" t="s">
        <v>88</v>
      </c>
      <c r="BL788" t="s">
        <v>668</v>
      </c>
      <c r="BM788" t="s">
        <v>10654</v>
      </c>
      <c r="BN788" t="s">
        <v>74</v>
      </c>
      <c r="BO788" t="s">
        <v>74</v>
      </c>
      <c r="BP788" t="s">
        <v>74</v>
      </c>
      <c r="BQ788" t="s">
        <v>74</v>
      </c>
      <c r="BR788" t="s">
        <v>91</v>
      </c>
      <c r="BS788" t="s">
        <v>10655</v>
      </c>
      <c r="BT788" t="str">
        <f>HYPERLINK("https%3A%2F%2Fwww.webofscience.com%2Fwos%2Fwoscc%2Ffull-record%2FWOS:000168966300004","View Full Record in Web of Science")</f>
        <v>View Full Record in Web of Science</v>
      </c>
    </row>
    <row r="789" spans="1:72" x14ac:dyDescent="0.15">
      <c r="A789" t="s">
        <v>72</v>
      </c>
      <c r="B789" t="s">
        <v>10656</v>
      </c>
      <c r="C789" t="s">
        <v>74</v>
      </c>
      <c r="D789" t="s">
        <v>74</v>
      </c>
      <c r="E789" t="s">
        <v>74</v>
      </c>
      <c r="F789" t="s">
        <v>10656</v>
      </c>
      <c r="G789" t="s">
        <v>74</v>
      </c>
      <c r="H789" t="s">
        <v>74</v>
      </c>
      <c r="I789" t="s">
        <v>10657</v>
      </c>
      <c r="J789" t="s">
        <v>7238</v>
      </c>
      <c r="K789" t="s">
        <v>74</v>
      </c>
      <c r="L789" t="s">
        <v>74</v>
      </c>
      <c r="M789" t="s">
        <v>77</v>
      </c>
      <c r="N789" t="s">
        <v>120</v>
      </c>
      <c r="O789" t="s">
        <v>74</v>
      </c>
      <c r="P789" t="s">
        <v>74</v>
      </c>
      <c r="Q789" t="s">
        <v>74</v>
      </c>
      <c r="R789" t="s">
        <v>74</v>
      </c>
      <c r="S789" t="s">
        <v>74</v>
      </c>
      <c r="T789" t="s">
        <v>10658</v>
      </c>
      <c r="U789" t="s">
        <v>10659</v>
      </c>
      <c r="V789" t="s">
        <v>10660</v>
      </c>
      <c r="W789" t="s">
        <v>10661</v>
      </c>
      <c r="X789" t="s">
        <v>10662</v>
      </c>
      <c r="Y789" t="s">
        <v>10663</v>
      </c>
      <c r="Z789" t="s">
        <v>74</v>
      </c>
      <c r="AA789" t="s">
        <v>10664</v>
      </c>
      <c r="AB789" t="s">
        <v>10665</v>
      </c>
      <c r="AC789" t="s">
        <v>74</v>
      </c>
      <c r="AD789" t="s">
        <v>74</v>
      </c>
      <c r="AE789" t="s">
        <v>74</v>
      </c>
      <c r="AF789" t="s">
        <v>74</v>
      </c>
      <c r="AG789">
        <v>41</v>
      </c>
      <c r="AH789">
        <v>22</v>
      </c>
      <c r="AI789">
        <v>24</v>
      </c>
      <c r="AJ789">
        <v>1</v>
      </c>
      <c r="AK789">
        <v>4</v>
      </c>
      <c r="AL789" t="s">
        <v>273</v>
      </c>
      <c r="AM789" t="s">
        <v>80</v>
      </c>
      <c r="AN789" t="s">
        <v>274</v>
      </c>
      <c r="AO789" t="s">
        <v>7248</v>
      </c>
      <c r="AP789" t="s">
        <v>74</v>
      </c>
      <c r="AQ789" t="s">
        <v>74</v>
      </c>
      <c r="AR789" t="s">
        <v>7249</v>
      </c>
      <c r="AS789" t="s">
        <v>7250</v>
      </c>
      <c r="AT789" t="s">
        <v>10127</v>
      </c>
      <c r="AU789">
        <v>2001</v>
      </c>
      <c r="AV789">
        <v>42</v>
      </c>
      <c r="AW789">
        <v>3</v>
      </c>
      <c r="AX789" t="s">
        <v>74</v>
      </c>
      <c r="AY789" t="s">
        <v>74</v>
      </c>
      <c r="AZ789" t="s">
        <v>74</v>
      </c>
      <c r="BA789" t="s">
        <v>74</v>
      </c>
      <c r="BB789">
        <v>529</v>
      </c>
      <c r="BC789">
        <v>554</v>
      </c>
      <c r="BD789" t="s">
        <v>74</v>
      </c>
      <c r="BE789" t="s">
        <v>10666</v>
      </c>
      <c r="BF789" t="str">
        <f>HYPERLINK("http://dx.doi.org/10.1093/petrology/42.3.529","http://dx.doi.org/10.1093/petrology/42.3.529")</f>
        <v>http://dx.doi.org/10.1093/petrology/42.3.529</v>
      </c>
      <c r="BG789" t="s">
        <v>74</v>
      </c>
      <c r="BH789" t="s">
        <v>74</v>
      </c>
      <c r="BI789">
        <v>26</v>
      </c>
      <c r="BJ789" t="s">
        <v>388</v>
      </c>
      <c r="BK789" t="s">
        <v>88</v>
      </c>
      <c r="BL789" t="s">
        <v>388</v>
      </c>
      <c r="BM789" t="s">
        <v>10667</v>
      </c>
      <c r="BN789" t="s">
        <v>74</v>
      </c>
      <c r="BO789" t="s">
        <v>74</v>
      </c>
      <c r="BP789" t="s">
        <v>74</v>
      </c>
      <c r="BQ789" t="s">
        <v>74</v>
      </c>
      <c r="BR789" t="s">
        <v>91</v>
      </c>
      <c r="BS789" t="s">
        <v>10668</v>
      </c>
      <c r="BT789" t="str">
        <f>HYPERLINK("https%3A%2F%2Fwww.webofscience.com%2Fwos%2Fwoscc%2Ffull-record%2FWOS:000168145400004","View Full Record in Web of Science")</f>
        <v>View Full Record in Web of Science</v>
      </c>
    </row>
    <row r="790" spans="1:72" x14ac:dyDescent="0.15">
      <c r="A790" t="s">
        <v>72</v>
      </c>
      <c r="B790" t="s">
        <v>10669</v>
      </c>
      <c r="C790" t="s">
        <v>74</v>
      </c>
      <c r="D790" t="s">
        <v>74</v>
      </c>
      <c r="E790" t="s">
        <v>74</v>
      </c>
      <c r="F790" t="s">
        <v>10669</v>
      </c>
      <c r="G790" t="s">
        <v>74</v>
      </c>
      <c r="H790" t="s">
        <v>74</v>
      </c>
      <c r="I790" t="s">
        <v>10670</v>
      </c>
      <c r="J790" t="s">
        <v>1325</v>
      </c>
      <c r="K790" t="s">
        <v>74</v>
      </c>
      <c r="L790" t="s">
        <v>74</v>
      </c>
      <c r="M790" t="s">
        <v>77</v>
      </c>
      <c r="N790" t="s">
        <v>120</v>
      </c>
      <c r="O790" t="s">
        <v>74</v>
      </c>
      <c r="P790" t="s">
        <v>74</v>
      </c>
      <c r="Q790" t="s">
        <v>74</v>
      </c>
      <c r="R790" t="s">
        <v>74</v>
      </c>
      <c r="S790" t="s">
        <v>74</v>
      </c>
      <c r="T790" t="s">
        <v>10671</v>
      </c>
      <c r="U790" t="s">
        <v>10672</v>
      </c>
      <c r="V790" t="s">
        <v>10673</v>
      </c>
      <c r="W790" t="s">
        <v>10674</v>
      </c>
      <c r="X790" t="s">
        <v>10675</v>
      </c>
      <c r="Y790" t="s">
        <v>10676</v>
      </c>
      <c r="Z790" t="s">
        <v>74</v>
      </c>
      <c r="AA790" t="s">
        <v>74</v>
      </c>
      <c r="AB790" t="s">
        <v>74</v>
      </c>
      <c r="AC790" t="s">
        <v>74</v>
      </c>
      <c r="AD790" t="s">
        <v>74</v>
      </c>
      <c r="AE790" t="s">
        <v>74</v>
      </c>
      <c r="AF790" t="s">
        <v>74</v>
      </c>
      <c r="AG790">
        <v>47</v>
      </c>
      <c r="AH790">
        <v>39</v>
      </c>
      <c r="AI790">
        <v>46</v>
      </c>
      <c r="AJ790">
        <v>0</v>
      </c>
      <c r="AK790">
        <v>11</v>
      </c>
      <c r="AL790" t="s">
        <v>182</v>
      </c>
      <c r="AM790" t="s">
        <v>183</v>
      </c>
      <c r="AN790" t="s">
        <v>184</v>
      </c>
      <c r="AO790" t="s">
        <v>1334</v>
      </c>
      <c r="AP790" t="s">
        <v>74</v>
      </c>
      <c r="AQ790" t="s">
        <v>74</v>
      </c>
      <c r="AR790" t="s">
        <v>1335</v>
      </c>
      <c r="AS790" t="s">
        <v>1336</v>
      </c>
      <c r="AT790" t="s">
        <v>10127</v>
      </c>
      <c r="AU790">
        <v>2001</v>
      </c>
      <c r="AV790">
        <v>158</v>
      </c>
      <c r="AW790">
        <v>3</v>
      </c>
      <c r="AX790" t="s">
        <v>74</v>
      </c>
      <c r="AY790" t="s">
        <v>74</v>
      </c>
      <c r="AZ790" t="s">
        <v>74</v>
      </c>
      <c r="BA790" t="s">
        <v>74</v>
      </c>
      <c r="BB790">
        <v>285</v>
      </c>
      <c r="BC790">
        <v>294</v>
      </c>
      <c r="BD790" t="s">
        <v>74</v>
      </c>
      <c r="BE790" t="s">
        <v>10677</v>
      </c>
      <c r="BF790" t="str">
        <f>HYPERLINK("http://dx.doi.org/10.1078/0176-1617-00306","http://dx.doi.org/10.1078/0176-1617-00306")</f>
        <v>http://dx.doi.org/10.1078/0176-1617-00306</v>
      </c>
      <c r="BG790" t="s">
        <v>74</v>
      </c>
      <c r="BH790" t="s">
        <v>74</v>
      </c>
      <c r="BI790">
        <v>10</v>
      </c>
      <c r="BJ790" t="s">
        <v>357</v>
      </c>
      <c r="BK790" t="s">
        <v>88</v>
      </c>
      <c r="BL790" t="s">
        <v>357</v>
      </c>
      <c r="BM790" t="s">
        <v>10678</v>
      </c>
      <c r="BN790" t="s">
        <v>74</v>
      </c>
      <c r="BO790" t="s">
        <v>74</v>
      </c>
      <c r="BP790" t="s">
        <v>74</v>
      </c>
      <c r="BQ790" t="s">
        <v>74</v>
      </c>
      <c r="BR790" t="s">
        <v>91</v>
      </c>
      <c r="BS790" t="s">
        <v>10679</v>
      </c>
      <c r="BT790" t="str">
        <f>HYPERLINK("https%3A%2F%2Fwww.webofscience.com%2Fwos%2Fwoscc%2Ffull-record%2FWOS:000167777900002","View Full Record in Web of Science")</f>
        <v>View Full Record in Web of Science</v>
      </c>
    </row>
    <row r="791" spans="1:72" x14ac:dyDescent="0.15">
      <c r="A791" t="s">
        <v>72</v>
      </c>
      <c r="B791" t="s">
        <v>10680</v>
      </c>
      <c r="C791" t="s">
        <v>74</v>
      </c>
      <c r="D791" t="s">
        <v>74</v>
      </c>
      <c r="E791" t="s">
        <v>74</v>
      </c>
      <c r="F791" t="s">
        <v>10680</v>
      </c>
      <c r="G791" t="s">
        <v>74</v>
      </c>
      <c r="H791" t="s">
        <v>74</v>
      </c>
      <c r="I791" t="s">
        <v>10681</v>
      </c>
      <c r="J791" t="s">
        <v>1364</v>
      </c>
      <c r="K791" t="s">
        <v>74</v>
      </c>
      <c r="L791" t="s">
        <v>74</v>
      </c>
      <c r="M791" t="s">
        <v>77</v>
      </c>
      <c r="N791" t="s">
        <v>120</v>
      </c>
      <c r="O791" t="s">
        <v>74</v>
      </c>
      <c r="P791" t="s">
        <v>74</v>
      </c>
      <c r="Q791" t="s">
        <v>74</v>
      </c>
      <c r="R791" t="s">
        <v>74</v>
      </c>
      <c r="S791" t="s">
        <v>74</v>
      </c>
      <c r="T791" t="s">
        <v>10682</v>
      </c>
      <c r="U791" t="s">
        <v>10683</v>
      </c>
      <c r="V791" t="s">
        <v>10684</v>
      </c>
      <c r="W791" t="s">
        <v>10685</v>
      </c>
      <c r="X791" t="s">
        <v>10686</v>
      </c>
      <c r="Y791" t="s">
        <v>10687</v>
      </c>
      <c r="Z791" t="s">
        <v>74</v>
      </c>
      <c r="AA791" t="s">
        <v>10688</v>
      </c>
      <c r="AB791" t="s">
        <v>10689</v>
      </c>
      <c r="AC791" t="s">
        <v>74</v>
      </c>
      <c r="AD791" t="s">
        <v>74</v>
      </c>
      <c r="AE791" t="s">
        <v>74</v>
      </c>
      <c r="AF791" t="s">
        <v>74</v>
      </c>
      <c r="AG791">
        <v>87</v>
      </c>
      <c r="AH791">
        <v>24</v>
      </c>
      <c r="AI791">
        <v>26</v>
      </c>
      <c r="AJ791">
        <v>0</v>
      </c>
      <c r="AK791">
        <v>5</v>
      </c>
      <c r="AL791" t="s">
        <v>1372</v>
      </c>
      <c r="AM791" t="s">
        <v>1373</v>
      </c>
      <c r="AN791" t="s">
        <v>1374</v>
      </c>
      <c r="AO791" t="s">
        <v>1375</v>
      </c>
      <c r="AP791" t="s">
        <v>74</v>
      </c>
      <c r="AQ791" t="s">
        <v>74</v>
      </c>
      <c r="AR791" t="s">
        <v>1377</v>
      </c>
      <c r="AS791" t="s">
        <v>1378</v>
      </c>
      <c r="AT791" t="s">
        <v>10127</v>
      </c>
      <c r="AU791">
        <v>2001</v>
      </c>
      <c r="AV791">
        <v>158</v>
      </c>
      <c r="AW791" t="s">
        <v>74</v>
      </c>
      <c r="AX791">
        <v>2</v>
      </c>
      <c r="AY791" t="s">
        <v>74</v>
      </c>
      <c r="AZ791" t="s">
        <v>74</v>
      </c>
      <c r="BA791" t="s">
        <v>74</v>
      </c>
      <c r="BB791">
        <v>219</v>
      </c>
      <c r="BC791">
        <v>232</v>
      </c>
      <c r="BD791" t="s">
        <v>74</v>
      </c>
      <c r="BE791" t="s">
        <v>10690</v>
      </c>
      <c r="BF791" t="str">
        <f>HYPERLINK("http://dx.doi.org/10.1144/jgs.158.2.219","http://dx.doi.org/10.1144/jgs.158.2.219")</f>
        <v>http://dx.doi.org/10.1144/jgs.158.2.219</v>
      </c>
      <c r="BG791" t="s">
        <v>74</v>
      </c>
      <c r="BH791" t="s">
        <v>74</v>
      </c>
      <c r="BI791">
        <v>14</v>
      </c>
      <c r="BJ791" t="s">
        <v>300</v>
      </c>
      <c r="BK791" t="s">
        <v>88</v>
      </c>
      <c r="BL791" t="s">
        <v>113</v>
      </c>
      <c r="BM791" t="s">
        <v>10691</v>
      </c>
      <c r="BN791" t="s">
        <v>74</v>
      </c>
      <c r="BO791" t="s">
        <v>74</v>
      </c>
      <c r="BP791" t="s">
        <v>74</v>
      </c>
      <c r="BQ791" t="s">
        <v>74</v>
      </c>
      <c r="BR791" t="s">
        <v>91</v>
      </c>
      <c r="BS791" t="s">
        <v>10692</v>
      </c>
      <c r="BT791" t="str">
        <f>HYPERLINK("https%3A%2F%2Fwww.webofscience.com%2Fwos%2Fwoscc%2Ffull-record%2FWOS:000167377600004","View Full Record in Web of Science")</f>
        <v>View Full Record in Web of Science</v>
      </c>
    </row>
    <row r="792" spans="1:72" x14ac:dyDescent="0.15">
      <c r="A792" t="s">
        <v>72</v>
      </c>
      <c r="B792" t="s">
        <v>10693</v>
      </c>
      <c r="C792" t="s">
        <v>74</v>
      </c>
      <c r="D792" t="s">
        <v>74</v>
      </c>
      <c r="E792" t="s">
        <v>74</v>
      </c>
      <c r="F792" t="s">
        <v>10693</v>
      </c>
      <c r="G792" t="s">
        <v>74</v>
      </c>
      <c r="H792" t="s">
        <v>74</v>
      </c>
      <c r="I792" t="s">
        <v>10694</v>
      </c>
      <c r="J792" t="s">
        <v>1364</v>
      </c>
      <c r="K792" t="s">
        <v>74</v>
      </c>
      <c r="L792" t="s">
        <v>74</v>
      </c>
      <c r="M792" t="s">
        <v>77</v>
      </c>
      <c r="N792" t="s">
        <v>120</v>
      </c>
      <c r="O792" t="s">
        <v>74</v>
      </c>
      <c r="P792" t="s">
        <v>74</v>
      </c>
      <c r="Q792" t="s">
        <v>74</v>
      </c>
      <c r="R792" t="s">
        <v>74</v>
      </c>
      <c r="S792" t="s">
        <v>74</v>
      </c>
      <c r="T792" t="s">
        <v>10695</v>
      </c>
      <c r="U792" t="s">
        <v>10696</v>
      </c>
      <c r="V792" t="s">
        <v>10697</v>
      </c>
      <c r="W792" t="s">
        <v>10698</v>
      </c>
      <c r="X792" t="s">
        <v>10699</v>
      </c>
      <c r="Y792" t="s">
        <v>10700</v>
      </c>
      <c r="Z792" t="s">
        <v>10701</v>
      </c>
      <c r="AA792" t="s">
        <v>74</v>
      </c>
      <c r="AB792" t="s">
        <v>10702</v>
      </c>
      <c r="AC792" t="s">
        <v>74</v>
      </c>
      <c r="AD792" t="s">
        <v>74</v>
      </c>
      <c r="AE792" t="s">
        <v>74</v>
      </c>
      <c r="AF792" t="s">
        <v>74</v>
      </c>
      <c r="AG792">
        <v>97</v>
      </c>
      <c r="AH792">
        <v>45</v>
      </c>
      <c r="AI792">
        <v>45</v>
      </c>
      <c r="AJ792">
        <v>0</v>
      </c>
      <c r="AK792">
        <v>4</v>
      </c>
      <c r="AL792" t="s">
        <v>1372</v>
      </c>
      <c r="AM792" t="s">
        <v>1373</v>
      </c>
      <c r="AN792" t="s">
        <v>1374</v>
      </c>
      <c r="AO792" t="s">
        <v>1375</v>
      </c>
      <c r="AP792" t="s">
        <v>1376</v>
      </c>
      <c r="AQ792" t="s">
        <v>74</v>
      </c>
      <c r="AR792" t="s">
        <v>1377</v>
      </c>
      <c r="AS792" t="s">
        <v>1378</v>
      </c>
      <c r="AT792" t="s">
        <v>10127</v>
      </c>
      <c r="AU792">
        <v>2001</v>
      </c>
      <c r="AV792">
        <v>158</v>
      </c>
      <c r="AW792" t="s">
        <v>74</v>
      </c>
      <c r="AX792">
        <v>2</v>
      </c>
      <c r="AY792" t="s">
        <v>74</v>
      </c>
      <c r="AZ792" t="s">
        <v>74</v>
      </c>
      <c r="BA792" t="s">
        <v>74</v>
      </c>
      <c r="BB792">
        <v>295</v>
      </c>
      <c r="BC792">
        <v>308</v>
      </c>
      <c r="BD792" t="s">
        <v>74</v>
      </c>
      <c r="BE792" t="s">
        <v>10703</v>
      </c>
      <c r="BF792" t="str">
        <f>HYPERLINK("http://dx.doi.org/10.1144/jgs.158.2.295","http://dx.doi.org/10.1144/jgs.158.2.295")</f>
        <v>http://dx.doi.org/10.1144/jgs.158.2.295</v>
      </c>
      <c r="BG792" t="s">
        <v>74</v>
      </c>
      <c r="BH792" t="s">
        <v>74</v>
      </c>
      <c r="BI792">
        <v>14</v>
      </c>
      <c r="BJ792" t="s">
        <v>300</v>
      </c>
      <c r="BK792" t="s">
        <v>88</v>
      </c>
      <c r="BL792" t="s">
        <v>113</v>
      </c>
      <c r="BM792" t="s">
        <v>10691</v>
      </c>
      <c r="BN792" t="s">
        <v>74</v>
      </c>
      <c r="BO792" t="s">
        <v>1685</v>
      </c>
      <c r="BP792" t="s">
        <v>74</v>
      </c>
      <c r="BQ792" t="s">
        <v>74</v>
      </c>
      <c r="BR792" t="s">
        <v>91</v>
      </c>
      <c r="BS792" t="s">
        <v>10704</v>
      </c>
      <c r="BT792" t="str">
        <f>HYPERLINK("https%3A%2F%2Fwww.webofscience.com%2Fwos%2Fwoscc%2Ffull-record%2FWOS:000167377600010","View Full Record in Web of Science")</f>
        <v>View Full Record in Web of Science</v>
      </c>
    </row>
    <row r="793" spans="1:72" x14ac:dyDescent="0.15">
      <c r="A793" t="s">
        <v>72</v>
      </c>
      <c r="B793" t="s">
        <v>10705</v>
      </c>
      <c r="C793" t="s">
        <v>74</v>
      </c>
      <c r="D793" t="s">
        <v>74</v>
      </c>
      <c r="E793" t="s">
        <v>74</v>
      </c>
      <c r="F793" t="s">
        <v>10705</v>
      </c>
      <c r="G793" t="s">
        <v>74</v>
      </c>
      <c r="H793" t="s">
        <v>74</v>
      </c>
      <c r="I793" t="s">
        <v>10706</v>
      </c>
      <c r="J793" t="s">
        <v>7309</v>
      </c>
      <c r="K793" t="s">
        <v>74</v>
      </c>
      <c r="L793" t="s">
        <v>74</v>
      </c>
      <c r="M793" t="s">
        <v>77</v>
      </c>
      <c r="N793" t="s">
        <v>96</v>
      </c>
      <c r="O793" t="s">
        <v>74</v>
      </c>
      <c r="P793" t="s">
        <v>74</v>
      </c>
      <c r="Q793" t="s">
        <v>74</v>
      </c>
      <c r="R793" t="s">
        <v>74</v>
      </c>
      <c r="S793" t="s">
        <v>74</v>
      </c>
      <c r="T793" t="s">
        <v>74</v>
      </c>
      <c r="U793" t="s">
        <v>10707</v>
      </c>
      <c r="V793" t="s">
        <v>74</v>
      </c>
      <c r="W793" t="s">
        <v>10708</v>
      </c>
      <c r="X793" t="s">
        <v>6746</v>
      </c>
      <c r="Y793" t="s">
        <v>10709</v>
      </c>
      <c r="Z793" t="s">
        <v>74</v>
      </c>
      <c r="AA793" t="s">
        <v>74</v>
      </c>
      <c r="AB793" t="s">
        <v>10710</v>
      </c>
      <c r="AC793" t="s">
        <v>74</v>
      </c>
      <c r="AD793" t="s">
        <v>74</v>
      </c>
      <c r="AE793" t="s">
        <v>74</v>
      </c>
      <c r="AF793" t="s">
        <v>74</v>
      </c>
      <c r="AG793">
        <v>161</v>
      </c>
      <c r="AH793">
        <v>23</v>
      </c>
      <c r="AI793">
        <v>23</v>
      </c>
      <c r="AJ793">
        <v>1</v>
      </c>
      <c r="AK793">
        <v>11</v>
      </c>
      <c r="AL793" t="s">
        <v>4072</v>
      </c>
      <c r="AM793" t="s">
        <v>4073</v>
      </c>
      <c r="AN793" t="s">
        <v>4074</v>
      </c>
      <c r="AO793" t="s">
        <v>7315</v>
      </c>
      <c r="AP793" t="s">
        <v>74</v>
      </c>
      <c r="AQ793" t="s">
        <v>74</v>
      </c>
      <c r="AR793" t="s">
        <v>7316</v>
      </c>
      <c r="AS793" t="s">
        <v>7317</v>
      </c>
      <c r="AT793" t="s">
        <v>10127</v>
      </c>
      <c r="AU793">
        <v>2001</v>
      </c>
      <c r="AV793">
        <v>31</v>
      </c>
      <c r="AW793">
        <v>1</v>
      </c>
      <c r="AX793" t="s">
        <v>74</v>
      </c>
      <c r="AY793" t="s">
        <v>74</v>
      </c>
      <c r="AZ793" t="s">
        <v>74</v>
      </c>
      <c r="BA793" t="s">
        <v>74</v>
      </c>
      <c r="BB793">
        <v>135</v>
      </c>
      <c r="BC793">
        <v>160</v>
      </c>
      <c r="BD793" t="s">
        <v>74</v>
      </c>
      <c r="BE793" t="s">
        <v>10711</v>
      </c>
      <c r="BF793" t="str">
        <f>HYPERLINK("http://dx.doi.org/10.1080/03014223.2001.9517644","http://dx.doi.org/10.1080/03014223.2001.9517644")</f>
        <v>http://dx.doi.org/10.1080/03014223.2001.9517644</v>
      </c>
      <c r="BG793" t="s">
        <v>74</v>
      </c>
      <c r="BH793" t="s">
        <v>74</v>
      </c>
      <c r="BI793">
        <v>26</v>
      </c>
      <c r="BJ793" t="s">
        <v>575</v>
      </c>
      <c r="BK793" t="s">
        <v>88</v>
      </c>
      <c r="BL793" t="s">
        <v>576</v>
      </c>
      <c r="BM793" t="s">
        <v>10712</v>
      </c>
      <c r="BN793" t="s">
        <v>74</v>
      </c>
      <c r="BO793" t="s">
        <v>74</v>
      </c>
      <c r="BP793" t="s">
        <v>74</v>
      </c>
      <c r="BQ793" t="s">
        <v>74</v>
      </c>
      <c r="BR793" t="s">
        <v>91</v>
      </c>
      <c r="BS793" t="s">
        <v>10713</v>
      </c>
      <c r="BT793" t="str">
        <f>HYPERLINK("https%3A%2F%2Fwww.webofscience.com%2Fwos%2Fwoscc%2Ffull-record%2FWOS:000171532800011","View Full Record in Web of Science")</f>
        <v>View Full Record in Web of Science</v>
      </c>
    </row>
    <row r="794" spans="1:72" x14ac:dyDescent="0.15">
      <c r="A794" t="s">
        <v>72</v>
      </c>
      <c r="B794" t="s">
        <v>10714</v>
      </c>
      <c r="C794" t="s">
        <v>74</v>
      </c>
      <c r="D794" t="s">
        <v>74</v>
      </c>
      <c r="E794" t="s">
        <v>74</v>
      </c>
      <c r="F794" t="s">
        <v>10714</v>
      </c>
      <c r="G794" t="s">
        <v>74</v>
      </c>
      <c r="H794" t="s">
        <v>74</v>
      </c>
      <c r="I794" t="s">
        <v>10715</v>
      </c>
      <c r="J794" t="s">
        <v>10716</v>
      </c>
      <c r="K794" t="s">
        <v>74</v>
      </c>
      <c r="L794" t="s">
        <v>74</v>
      </c>
      <c r="M794" t="s">
        <v>77</v>
      </c>
      <c r="N794" t="s">
        <v>120</v>
      </c>
      <c r="O794" t="s">
        <v>74</v>
      </c>
      <c r="P794" t="s">
        <v>74</v>
      </c>
      <c r="Q794" t="s">
        <v>74</v>
      </c>
      <c r="R794" t="s">
        <v>74</v>
      </c>
      <c r="S794" t="s">
        <v>74</v>
      </c>
      <c r="T794" t="s">
        <v>74</v>
      </c>
      <c r="U794" t="s">
        <v>10717</v>
      </c>
      <c r="V794" t="s">
        <v>10718</v>
      </c>
      <c r="W794" t="s">
        <v>10719</v>
      </c>
      <c r="X794" t="s">
        <v>2484</v>
      </c>
      <c r="Y794" t="s">
        <v>10720</v>
      </c>
      <c r="Z794" t="s">
        <v>74</v>
      </c>
      <c r="AA794" t="s">
        <v>74</v>
      </c>
      <c r="AB794" t="s">
        <v>74</v>
      </c>
      <c r="AC794" t="s">
        <v>74</v>
      </c>
      <c r="AD794" t="s">
        <v>74</v>
      </c>
      <c r="AE794" t="s">
        <v>74</v>
      </c>
      <c r="AF794" t="s">
        <v>74</v>
      </c>
      <c r="AG794">
        <v>72</v>
      </c>
      <c r="AH794">
        <v>25</v>
      </c>
      <c r="AI794">
        <v>26</v>
      </c>
      <c r="AJ794">
        <v>0</v>
      </c>
      <c r="AK794">
        <v>8</v>
      </c>
      <c r="AL794" t="s">
        <v>6896</v>
      </c>
      <c r="AM794" t="s">
        <v>6897</v>
      </c>
      <c r="AN794" t="s">
        <v>6898</v>
      </c>
      <c r="AO794" t="s">
        <v>10721</v>
      </c>
      <c r="AP794" t="s">
        <v>74</v>
      </c>
      <c r="AQ794" t="s">
        <v>74</v>
      </c>
      <c r="AR794" t="s">
        <v>10716</v>
      </c>
      <c r="AS794" t="s">
        <v>10722</v>
      </c>
      <c r="AT794" t="s">
        <v>10127</v>
      </c>
      <c r="AU794">
        <v>2001</v>
      </c>
      <c r="AV794">
        <v>34</v>
      </c>
      <c r="AW794">
        <v>1</v>
      </c>
      <c r="AX794" t="s">
        <v>74</v>
      </c>
      <c r="AY794" t="s">
        <v>74</v>
      </c>
      <c r="AZ794" t="s">
        <v>74</v>
      </c>
      <c r="BA794" t="s">
        <v>74</v>
      </c>
      <c r="BB794">
        <v>63</v>
      </c>
      <c r="BC794">
        <v>83</v>
      </c>
      <c r="BD794" t="s">
        <v>74</v>
      </c>
      <c r="BE794" t="s">
        <v>74</v>
      </c>
      <c r="BF794" t="s">
        <v>74</v>
      </c>
      <c r="BG794" t="s">
        <v>74</v>
      </c>
      <c r="BH794" t="s">
        <v>74</v>
      </c>
      <c r="BI794">
        <v>21</v>
      </c>
      <c r="BJ794" t="s">
        <v>1460</v>
      </c>
      <c r="BK794" t="s">
        <v>88</v>
      </c>
      <c r="BL794" t="s">
        <v>1460</v>
      </c>
      <c r="BM794" t="s">
        <v>10723</v>
      </c>
      <c r="BN794" t="s">
        <v>74</v>
      </c>
      <c r="BO794" t="s">
        <v>74</v>
      </c>
      <c r="BP794" t="s">
        <v>74</v>
      </c>
      <c r="BQ794" t="s">
        <v>74</v>
      </c>
      <c r="BR794" t="s">
        <v>91</v>
      </c>
      <c r="BS794" t="s">
        <v>10724</v>
      </c>
      <c r="BT794" t="str">
        <f>HYPERLINK("https%3A%2F%2Fwww.webofscience.com%2Fwos%2Fwoscc%2Ffull-record%2FWOS:000168213700007","View Full Record in Web of Science")</f>
        <v>View Full Record in Web of Science</v>
      </c>
    </row>
    <row r="795" spans="1:72" x14ac:dyDescent="0.15">
      <c r="A795" t="s">
        <v>72</v>
      </c>
      <c r="B795" t="s">
        <v>10725</v>
      </c>
      <c r="C795" t="s">
        <v>74</v>
      </c>
      <c r="D795" t="s">
        <v>74</v>
      </c>
      <c r="E795" t="s">
        <v>74</v>
      </c>
      <c r="F795" t="s">
        <v>10725</v>
      </c>
      <c r="G795" t="s">
        <v>74</v>
      </c>
      <c r="H795" t="s">
        <v>74</v>
      </c>
      <c r="I795" t="s">
        <v>10726</v>
      </c>
      <c r="J795" t="s">
        <v>6197</v>
      </c>
      <c r="K795" t="s">
        <v>74</v>
      </c>
      <c r="L795" t="s">
        <v>74</v>
      </c>
      <c r="M795" t="s">
        <v>77</v>
      </c>
      <c r="N795" t="s">
        <v>120</v>
      </c>
      <c r="O795" t="s">
        <v>74</v>
      </c>
      <c r="P795" t="s">
        <v>74</v>
      </c>
      <c r="Q795" t="s">
        <v>74</v>
      </c>
      <c r="R795" t="s">
        <v>74</v>
      </c>
      <c r="S795" t="s">
        <v>74</v>
      </c>
      <c r="T795" t="s">
        <v>74</v>
      </c>
      <c r="U795" t="s">
        <v>10727</v>
      </c>
      <c r="V795" t="s">
        <v>10728</v>
      </c>
      <c r="W795" t="s">
        <v>10729</v>
      </c>
      <c r="X795" t="s">
        <v>10730</v>
      </c>
      <c r="Y795" t="s">
        <v>10731</v>
      </c>
      <c r="Z795" t="s">
        <v>10732</v>
      </c>
      <c r="AA795" t="s">
        <v>10733</v>
      </c>
      <c r="AB795" t="s">
        <v>10734</v>
      </c>
      <c r="AC795" t="s">
        <v>74</v>
      </c>
      <c r="AD795" t="s">
        <v>74</v>
      </c>
      <c r="AE795" t="s">
        <v>74</v>
      </c>
      <c r="AF795" t="s">
        <v>74</v>
      </c>
      <c r="AG795">
        <v>39</v>
      </c>
      <c r="AH795">
        <v>136</v>
      </c>
      <c r="AI795">
        <v>144</v>
      </c>
      <c r="AJ795">
        <v>1</v>
      </c>
      <c r="AK795">
        <v>30</v>
      </c>
      <c r="AL795" t="s">
        <v>1247</v>
      </c>
      <c r="AM795" t="s">
        <v>1248</v>
      </c>
      <c r="AN795" t="s">
        <v>1249</v>
      </c>
      <c r="AO795" t="s">
        <v>6205</v>
      </c>
      <c r="AP795" t="s">
        <v>6206</v>
      </c>
      <c r="AQ795" t="s">
        <v>74</v>
      </c>
      <c r="AR795" t="s">
        <v>6207</v>
      </c>
      <c r="AS795" t="s">
        <v>6208</v>
      </c>
      <c r="AT795" t="s">
        <v>10127</v>
      </c>
      <c r="AU795">
        <v>2001</v>
      </c>
      <c r="AV795">
        <v>46</v>
      </c>
      <c r="AW795">
        <v>2</v>
      </c>
      <c r="AX795" t="s">
        <v>74</v>
      </c>
      <c r="AY795" t="s">
        <v>74</v>
      </c>
      <c r="AZ795" t="s">
        <v>74</v>
      </c>
      <c r="BA795" t="s">
        <v>74</v>
      </c>
      <c r="BB795">
        <v>260</v>
      </c>
      <c r="BC795">
        <v>266</v>
      </c>
      <c r="BD795" t="s">
        <v>74</v>
      </c>
      <c r="BE795" t="s">
        <v>10735</v>
      </c>
      <c r="BF795" t="str">
        <f>HYPERLINK("http://dx.doi.org/10.4319/lo.2001.46.2.0260","http://dx.doi.org/10.4319/lo.2001.46.2.0260")</f>
        <v>http://dx.doi.org/10.4319/lo.2001.46.2.0260</v>
      </c>
      <c r="BG795" t="s">
        <v>74</v>
      </c>
      <c r="BH795" t="s">
        <v>74</v>
      </c>
      <c r="BI795">
        <v>7</v>
      </c>
      <c r="BJ795" t="s">
        <v>6210</v>
      </c>
      <c r="BK795" t="s">
        <v>88</v>
      </c>
      <c r="BL795" t="s">
        <v>2574</v>
      </c>
      <c r="BM795" t="s">
        <v>10736</v>
      </c>
      <c r="BN795" t="s">
        <v>74</v>
      </c>
      <c r="BO795" t="s">
        <v>7125</v>
      </c>
      <c r="BP795" t="s">
        <v>74</v>
      </c>
      <c r="BQ795" t="s">
        <v>74</v>
      </c>
      <c r="BR795" t="s">
        <v>91</v>
      </c>
      <c r="BS795" t="s">
        <v>10737</v>
      </c>
      <c r="BT795" t="str">
        <f>HYPERLINK("https%3A%2F%2Fwww.webofscience.com%2Fwos%2Fwoscc%2Ffull-record%2FWOS:000167819900006","View Full Record in Web of Science")</f>
        <v>View Full Record in Web of Science</v>
      </c>
    </row>
    <row r="796" spans="1:72" x14ac:dyDescent="0.15">
      <c r="A796" t="s">
        <v>72</v>
      </c>
      <c r="B796" t="s">
        <v>10738</v>
      </c>
      <c r="C796" t="s">
        <v>74</v>
      </c>
      <c r="D796" t="s">
        <v>74</v>
      </c>
      <c r="E796" t="s">
        <v>74</v>
      </c>
      <c r="F796" t="s">
        <v>10738</v>
      </c>
      <c r="G796" t="s">
        <v>74</v>
      </c>
      <c r="H796" t="s">
        <v>74</v>
      </c>
      <c r="I796" t="s">
        <v>10739</v>
      </c>
      <c r="J796" t="s">
        <v>7334</v>
      </c>
      <c r="K796" t="s">
        <v>74</v>
      </c>
      <c r="L796" t="s">
        <v>74</v>
      </c>
      <c r="M796" t="s">
        <v>77</v>
      </c>
      <c r="N796" t="s">
        <v>96</v>
      </c>
      <c r="O796" t="s">
        <v>74</v>
      </c>
      <c r="P796" t="s">
        <v>74</v>
      </c>
      <c r="Q796" t="s">
        <v>74</v>
      </c>
      <c r="R796" t="s">
        <v>74</v>
      </c>
      <c r="S796" t="s">
        <v>74</v>
      </c>
      <c r="T796" t="s">
        <v>74</v>
      </c>
      <c r="U796" t="s">
        <v>10740</v>
      </c>
      <c r="V796" t="s">
        <v>10741</v>
      </c>
      <c r="W796" t="s">
        <v>9305</v>
      </c>
      <c r="X796" t="s">
        <v>9306</v>
      </c>
      <c r="Y796" t="s">
        <v>10742</v>
      </c>
      <c r="Z796" t="s">
        <v>74</v>
      </c>
      <c r="AA796" t="s">
        <v>10743</v>
      </c>
      <c r="AB796" t="s">
        <v>10744</v>
      </c>
      <c r="AC796" t="s">
        <v>74</v>
      </c>
      <c r="AD796" t="s">
        <v>74</v>
      </c>
      <c r="AE796" t="s">
        <v>74</v>
      </c>
      <c r="AF796" t="s">
        <v>74</v>
      </c>
      <c r="AG796">
        <v>113</v>
      </c>
      <c r="AH796">
        <v>60</v>
      </c>
      <c r="AI796">
        <v>75</v>
      </c>
      <c r="AJ796">
        <v>1</v>
      </c>
      <c r="AK796">
        <v>54</v>
      </c>
      <c r="AL796" t="s">
        <v>1080</v>
      </c>
      <c r="AM796" t="s">
        <v>80</v>
      </c>
      <c r="AN796" t="s">
        <v>1081</v>
      </c>
      <c r="AO796" t="s">
        <v>7343</v>
      </c>
      <c r="AP796" t="s">
        <v>74</v>
      </c>
      <c r="AQ796" t="s">
        <v>74</v>
      </c>
      <c r="AR796" t="s">
        <v>7344</v>
      </c>
      <c r="AS796" t="s">
        <v>7345</v>
      </c>
      <c r="AT796" t="s">
        <v>10127</v>
      </c>
      <c r="AU796">
        <v>2001</v>
      </c>
      <c r="AV796">
        <v>31</v>
      </c>
      <c r="AW796">
        <v>1</v>
      </c>
      <c r="AX796" t="s">
        <v>74</v>
      </c>
      <c r="AY796" t="s">
        <v>74</v>
      </c>
      <c r="AZ796" t="s">
        <v>74</v>
      </c>
      <c r="BA796" t="s">
        <v>74</v>
      </c>
      <c r="BB796">
        <v>81</v>
      </c>
      <c r="BC796">
        <v>105</v>
      </c>
      <c r="BD796" t="s">
        <v>74</v>
      </c>
      <c r="BE796" t="s">
        <v>10745</v>
      </c>
      <c r="BF796" t="str">
        <f>HYPERLINK("http://dx.doi.org/10.1046/j.1365-2907.2001.00080.x","http://dx.doi.org/10.1046/j.1365-2907.2001.00080.x")</f>
        <v>http://dx.doi.org/10.1046/j.1365-2907.2001.00080.x</v>
      </c>
      <c r="BG796" t="s">
        <v>74</v>
      </c>
      <c r="BH796" t="s">
        <v>74</v>
      </c>
      <c r="BI796">
        <v>25</v>
      </c>
      <c r="BJ796" t="s">
        <v>3767</v>
      </c>
      <c r="BK796" t="s">
        <v>88</v>
      </c>
      <c r="BL796" t="s">
        <v>3768</v>
      </c>
      <c r="BM796" t="s">
        <v>10746</v>
      </c>
      <c r="BN796" t="s">
        <v>74</v>
      </c>
      <c r="BO796" t="s">
        <v>171</v>
      </c>
      <c r="BP796" t="s">
        <v>74</v>
      </c>
      <c r="BQ796" t="s">
        <v>74</v>
      </c>
      <c r="BR796" t="s">
        <v>91</v>
      </c>
      <c r="BS796" t="s">
        <v>10747</v>
      </c>
      <c r="BT796" t="str">
        <f>HYPERLINK("https%3A%2F%2Fwww.webofscience.com%2Fwos%2Fwoscc%2Ffull-record%2FWOS:000168690700006","View Full Record in Web of Science")</f>
        <v>View Full Record in Web of Science</v>
      </c>
    </row>
    <row r="797" spans="1:72" x14ac:dyDescent="0.15">
      <c r="A797" t="s">
        <v>72</v>
      </c>
      <c r="B797" t="s">
        <v>10748</v>
      </c>
      <c r="C797" t="s">
        <v>74</v>
      </c>
      <c r="D797" t="s">
        <v>74</v>
      </c>
      <c r="E797" t="s">
        <v>74</v>
      </c>
      <c r="F797" t="s">
        <v>10748</v>
      </c>
      <c r="G797" t="s">
        <v>74</v>
      </c>
      <c r="H797" t="s">
        <v>74</v>
      </c>
      <c r="I797" t="s">
        <v>10749</v>
      </c>
      <c r="J797" t="s">
        <v>1415</v>
      </c>
      <c r="K797" t="s">
        <v>74</v>
      </c>
      <c r="L797" t="s">
        <v>74</v>
      </c>
      <c r="M797" t="s">
        <v>77</v>
      </c>
      <c r="N797" t="s">
        <v>120</v>
      </c>
      <c r="O797" t="s">
        <v>74</v>
      </c>
      <c r="P797" t="s">
        <v>74</v>
      </c>
      <c r="Q797" t="s">
        <v>74</v>
      </c>
      <c r="R797" t="s">
        <v>74</v>
      </c>
      <c r="S797" t="s">
        <v>74</v>
      </c>
      <c r="T797" t="s">
        <v>74</v>
      </c>
      <c r="U797" t="s">
        <v>10750</v>
      </c>
      <c r="V797" t="s">
        <v>10751</v>
      </c>
      <c r="W797" t="s">
        <v>10752</v>
      </c>
      <c r="X797" t="s">
        <v>10753</v>
      </c>
      <c r="Y797" t="s">
        <v>10754</v>
      </c>
      <c r="Z797" t="s">
        <v>74</v>
      </c>
      <c r="AA797" t="s">
        <v>74</v>
      </c>
      <c r="AB797" t="s">
        <v>74</v>
      </c>
      <c r="AC797" t="s">
        <v>74</v>
      </c>
      <c r="AD797" t="s">
        <v>74</v>
      </c>
      <c r="AE797" t="s">
        <v>74</v>
      </c>
      <c r="AF797" t="s">
        <v>74</v>
      </c>
      <c r="AG797">
        <v>60</v>
      </c>
      <c r="AH797">
        <v>46</v>
      </c>
      <c r="AI797">
        <v>52</v>
      </c>
      <c r="AJ797">
        <v>0</v>
      </c>
      <c r="AK797">
        <v>19</v>
      </c>
      <c r="AL797" t="s">
        <v>203</v>
      </c>
      <c r="AM797" t="s">
        <v>204</v>
      </c>
      <c r="AN797" t="s">
        <v>205</v>
      </c>
      <c r="AO797" t="s">
        <v>1421</v>
      </c>
      <c r="AP797" t="s">
        <v>74</v>
      </c>
      <c r="AQ797" t="s">
        <v>74</v>
      </c>
      <c r="AR797" t="s">
        <v>1422</v>
      </c>
      <c r="AS797" t="s">
        <v>1423</v>
      </c>
      <c r="AT797" t="s">
        <v>10127</v>
      </c>
      <c r="AU797">
        <v>2001</v>
      </c>
      <c r="AV797">
        <v>138</v>
      </c>
      <c r="AW797">
        <v>3</v>
      </c>
      <c r="AX797" t="s">
        <v>74</v>
      </c>
      <c r="AY797" t="s">
        <v>74</v>
      </c>
      <c r="AZ797" t="s">
        <v>74</v>
      </c>
      <c r="BA797" t="s">
        <v>74</v>
      </c>
      <c r="BB797">
        <v>553</v>
      </c>
      <c r="BC797">
        <v>560</v>
      </c>
      <c r="BD797" t="s">
        <v>74</v>
      </c>
      <c r="BE797" t="s">
        <v>10755</v>
      </c>
      <c r="BF797" t="str">
        <f>HYPERLINK("http://dx.doi.org/10.1007/s002270000486","http://dx.doi.org/10.1007/s002270000486")</f>
        <v>http://dx.doi.org/10.1007/s002270000486</v>
      </c>
      <c r="BG797" t="s">
        <v>74</v>
      </c>
      <c r="BH797" t="s">
        <v>74</v>
      </c>
      <c r="BI797">
        <v>8</v>
      </c>
      <c r="BJ797" t="s">
        <v>323</v>
      </c>
      <c r="BK797" t="s">
        <v>88</v>
      </c>
      <c r="BL797" t="s">
        <v>323</v>
      </c>
      <c r="BM797" t="s">
        <v>10756</v>
      </c>
      <c r="BN797" t="s">
        <v>74</v>
      </c>
      <c r="BO797" t="s">
        <v>74</v>
      </c>
      <c r="BP797" t="s">
        <v>74</v>
      </c>
      <c r="BQ797" t="s">
        <v>74</v>
      </c>
      <c r="BR797" t="s">
        <v>91</v>
      </c>
      <c r="BS797" t="s">
        <v>10757</v>
      </c>
      <c r="BT797" t="str">
        <f>HYPERLINK("https%3A%2F%2Fwww.webofscience.com%2Fwos%2Fwoscc%2Ffull-record%2FWOS:000167838300012","View Full Record in Web of Science")</f>
        <v>View Full Record in Web of Science</v>
      </c>
    </row>
    <row r="798" spans="1:72" x14ac:dyDescent="0.15">
      <c r="A798" t="s">
        <v>72</v>
      </c>
      <c r="B798" t="s">
        <v>10758</v>
      </c>
      <c r="C798" t="s">
        <v>74</v>
      </c>
      <c r="D798" t="s">
        <v>74</v>
      </c>
      <c r="E798" t="s">
        <v>74</v>
      </c>
      <c r="F798" t="s">
        <v>10758</v>
      </c>
      <c r="G798" t="s">
        <v>74</v>
      </c>
      <c r="H798" t="s">
        <v>74</v>
      </c>
      <c r="I798" t="s">
        <v>10759</v>
      </c>
      <c r="J798" t="s">
        <v>1447</v>
      </c>
      <c r="K798" t="s">
        <v>74</v>
      </c>
      <c r="L798" t="s">
        <v>74</v>
      </c>
      <c r="M798" t="s">
        <v>77</v>
      </c>
      <c r="N798" t="s">
        <v>120</v>
      </c>
      <c r="O798" t="s">
        <v>74</v>
      </c>
      <c r="P798" t="s">
        <v>74</v>
      </c>
      <c r="Q798" t="s">
        <v>74</v>
      </c>
      <c r="R798" t="s">
        <v>74</v>
      </c>
      <c r="S798" t="s">
        <v>74</v>
      </c>
      <c r="T798" t="s">
        <v>10760</v>
      </c>
      <c r="U798" t="s">
        <v>10761</v>
      </c>
      <c r="V798" t="s">
        <v>10762</v>
      </c>
      <c r="W798" t="s">
        <v>10763</v>
      </c>
      <c r="X798" t="s">
        <v>10764</v>
      </c>
      <c r="Y798" t="s">
        <v>10765</v>
      </c>
      <c r="Z798" t="s">
        <v>10766</v>
      </c>
      <c r="AA798" t="s">
        <v>1454</v>
      </c>
      <c r="AB798" t="s">
        <v>74</v>
      </c>
      <c r="AC798" t="s">
        <v>74</v>
      </c>
      <c r="AD798" t="s">
        <v>74</v>
      </c>
      <c r="AE798" t="s">
        <v>74</v>
      </c>
      <c r="AF798" t="s">
        <v>74</v>
      </c>
      <c r="AG798">
        <v>95</v>
      </c>
      <c r="AH798">
        <v>39</v>
      </c>
      <c r="AI798">
        <v>46</v>
      </c>
      <c r="AJ798">
        <v>0</v>
      </c>
      <c r="AK798">
        <v>7</v>
      </c>
      <c r="AL798" t="s">
        <v>488</v>
      </c>
      <c r="AM798" t="s">
        <v>350</v>
      </c>
      <c r="AN798" t="s">
        <v>489</v>
      </c>
      <c r="AO798" t="s">
        <v>1456</v>
      </c>
      <c r="AP798" t="s">
        <v>7358</v>
      </c>
      <c r="AQ798" t="s">
        <v>74</v>
      </c>
      <c r="AR798" t="s">
        <v>1457</v>
      </c>
      <c r="AS798" t="s">
        <v>1458</v>
      </c>
      <c r="AT798" t="s">
        <v>10127</v>
      </c>
      <c r="AU798">
        <v>2001</v>
      </c>
      <c r="AV798">
        <v>41</v>
      </c>
      <c r="AW798" t="s">
        <v>451</v>
      </c>
      <c r="AX798" t="s">
        <v>74</v>
      </c>
      <c r="AY798" t="s">
        <v>74</v>
      </c>
      <c r="AZ798" t="s">
        <v>74</v>
      </c>
      <c r="BA798" t="s">
        <v>74</v>
      </c>
      <c r="BB798">
        <v>125</v>
      </c>
      <c r="BC798">
        <v>152</v>
      </c>
      <c r="BD798" t="s">
        <v>74</v>
      </c>
      <c r="BE798" t="s">
        <v>10767</v>
      </c>
      <c r="BF798" t="str">
        <f>HYPERLINK("http://dx.doi.org/10.1016/S0377-8398(00)00060-8","http://dx.doi.org/10.1016/S0377-8398(00)00060-8")</f>
        <v>http://dx.doi.org/10.1016/S0377-8398(00)00060-8</v>
      </c>
      <c r="BG798" t="s">
        <v>74</v>
      </c>
      <c r="BH798" t="s">
        <v>74</v>
      </c>
      <c r="BI798">
        <v>28</v>
      </c>
      <c r="BJ798" t="s">
        <v>1460</v>
      </c>
      <c r="BK798" t="s">
        <v>88</v>
      </c>
      <c r="BL798" t="s">
        <v>1460</v>
      </c>
      <c r="BM798" t="s">
        <v>10768</v>
      </c>
      <c r="BN798" t="s">
        <v>74</v>
      </c>
      <c r="BO798" t="s">
        <v>74</v>
      </c>
      <c r="BP798" t="s">
        <v>74</v>
      </c>
      <c r="BQ798" t="s">
        <v>74</v>
      </c>
      <c r="BR798" t="s">
        <v>91</v>
      </c>
      <c r="BS798" t="s">
        <v>10769</v>
      </c>
      <c r="BT798" t="str">
        <f>HYPERLINK("https%3A%2F%2Fwww.webofscience.com%2Fwos%2Fwoscc%2Ffull-record%2FWOS:000168616300002","View Full Record in Web of Science")</f>
        <v>View Full Record in Web of Science</v>
      </c>
    </row>
    <row r="799" spans="1:72" x14ac:dyDescent="0.15">
      <c r="A799" t="s">
        <v>72</v>
      </c>
      <c r="B799" t="s">
        <v>10770</v>
      </c>
      <c r="C799" t="s">
        <v>74</v>
      </c>
      <c r="D799" t="s">
        <v>74</v>
      </c>
      <c r="E799" t="s">
        <v>74</v>
      </c>
      <c r="F799" t="s">
        <v>10770</v>
      </c>
      <c r="G799" t="s">
        <v>74</v>
      </c>
      <c r="H799" t="s">
        <v>74</v>
      </c>
      <c r="I799" t="s">
        <v>10771</v>
      </c>
      <c r="J799" t="s">
        <v>10772</v>
      </c>
      <c r="K799" t="s">
        <v>74</v>
      </c>
      <c r="L799" t="s">
        <v>74</v>
      </c>
      <c r="M799" t="s">
        <v>77</v>
      </c>
      <c r="N799" t="s">
        <v>120</v>
      </c>
      <c r="O799" t="s">
        <v>74</v>
      </c>
      <c r="P799" t="s">
        <v>74</v>
      </c>
      <c r="Q799" t="s">
        <v>74</v>
      </c>
      <c r="R799" t="s">
        <v>74</v>
      </c>
      <c r="S799" t="s">
        <v>74</v>
      </c>
      <c r="T799" t="s">
        <v>10773</v>
      </c>
      <c r="U799" t="s">
        <v>74</v>
      </c>
      <c r="V799" t="s">
        <v>10774</v>
      </c>
      <c r="W799" t="s">
        <v>10775</v>
      </c>
      <c r="X799" t="s">
        <v>10776</v>
      </c>
      <c r="Y799" t="s">
        <v>10777</v>
      </c>
      <c r="Z799" t="s">
        <v>74</v>
      </c>
      <c r="AA799" t="s">
        <v>10778</v>
      </c>
      <c r="AB799" t="s">
        <v>10779</v>
      </c>
      <c r="AC799" t="s">
        <v>74</v>
      </c>
      <c r="AD799" t="s">
        <v>74</v>
      </c>
      <c r="AE799" t="s">
        <v>74</v>
      </c>
      <c r="AF799" t="s">
        <v>74</v>
      </c>
      <c r="AG799">
        <v>42</v>
      </c>
      <c r="AH799">
        <v>19</v>
      </c>
      <c r="AI799">
        <v>22</v>
      </c>
      <c r="AJ799">
        <v>0</v>
      </c>
      <c r="AK799">
        <v>4</v>
      </c>
      <c r="AL799" t="s">
        <v>1790</v>
      </c>
      <c r="AM799" t="s">
        <v>80</v>
      </c>
      <c r="AN799" t="s">
        <v>1791</v>
      </c>
      <c r="AO799" t="s">
        <v>10780</v>
      </c>
      <c r="AP799" t="s">
        <v>74</v>
      </c>
      <c r="AQ799" t="s">
        <v>74</v>
      </c>
      <c r="AR799" t="s">
        <v>10781</v>
      </c>
      <c r="AS799" t="s">
        <v>10782</v>
      </c>
      <c r="AT799" t="s">
        <v>10127</v>
      </c>
      <c r="AU799">
        <v>2001</v>
      </c>
      <c r="AV799">
        <v>25</v>
      </c>
      <c r="AW799">
        <v>2</v>
      </c>
      <c r="AX799" t="s">
        <v>74</v>
      </c>
      <c r="AY799" t="s">
        <v>74</v>
      </c>
      <c r="AZ799" t="s">
        <v>74</v>
      </c>
      <c r="BA799" t="s">
        <v>74</v>
      </c>
      <c r="BB799">
        <v>91</v>
      </c>
      <c r="BC799">
        <v>101</v>
      </c>
      <c r="BD799" t="s">
        <v>74</v>
      </c>
      <c r="BE799" t="s">
        <v>10783</v>
      </c>
      <c r="BF799" t="str">
        <f>HYPERLINK("http://dx.doi.org/10.1016/S0308-597X(00)00038-5","http://dx.doi.org/10.1016/S0308-597X(00)00038-5")</f>
        <v>http://dx.doi.org/10.1016/S0308-597X(00)00038-5</v>
      </c>
      <c r="BG799" t="s">
        <v>74</v>
      </c>
      <c r="BH799" t="s">
        <v>74</v>
      </c>
      <c r="BI799">
        <v>11</v>
      </c>
      <c r="BJ799" t="s">
        <v>10784</v>
      </c>
      <c r="BK799" t="s">
        <v>1796</v>
      </c>
      <c r="BL799" t="s">
        <v>10785</v>
      </c>
      <c r="BM799" t="s">
        <v>10786</v>
      </c>
      <c r="BN799" t="s">
        <v>74</v>
      </c>
      <c r="BO799" t="s">
        <v>10787</v>
      </c>
      <c r="BP799" t="s">
        <v>74</v>
      </c>
      <c r="BQ799" t="s">
        <v>74</v>
      </c>
      <c r="BR799" t="s">
        <v>91</v>
      </c>
      <c r="BS799" t="s">
        <v>10788</v>
      </c>
      <c r="BT799" t="str">
        <f>HYPERLINK("https%3A%2F%2Fwww.webofscience.com%2Fwos%2Fwoscc%2Ffull-record%2FWOS:000168739300001","View Full Record in Web of Science")</f>
        <v>View Full Record in Web of Science</v>
      </c>
    </row>
    <row r="800" spans="1:72" x14ac:dyDescent="0.15">
      <c r="A800" t="s">
        <v>72</v>
      </c>
      <c r="B800" t="s">
        <v>10789</v>
      </c>
      <c r="C800" t="s">
        <v>74</v>
      </c>
      <c r="D800" t="s">
        <v>74</v>
      </c>
      <c r="E800" t="s">
        <v>74</v>
      </c>
      <c r="F800" t="s">
        <v>10789</v>
      </c>
      <c r="G800" t="s">
        <v>74</v>
      </c>
      <c r="H800" t="s">
        <v>74</v>
      </c>
      <c r="I800" t="s">
        <v>10790</v>
      </c>
      <c r="J800" t="s">
        <v>10791</v>
      </c>
      <c r="K800" t="s">
        <v>74</v>
      </c>
      <c r="L800" t="s">
        <v>74</v>
      </c>
      <c r="M800" t="s">
        <v>77</v>
      </c>
      <c r="N800" t="s">
        <v>435</v>
      </c>
      <c r="O800" t="s">
        <v>10792</v>
      </c>
      <c r="P800" t="s">
        <v>10793</v>
      </c>
      <c r="Q800" t="s">
        <v>10794</v>
      </c>
      <c r="R800" t="s">
        <v>74</v>
      </c>
      <c r="S800" t="s">
        <v>74</v>
      </c>
      <c r="T800" t="s">
        <v>10795</v>
      </c>
      <c r="U800" t="s">
        <v>10796</v>
      </c>
      <c r="V800" t="s">
        <v>10797</v>
      </c>
      <c r="W800" t="s">
        <v>10798</v>
      </c>
      <c r="X800" t="s">
        <v>10799</v>
      </c>
      <c r="Y800" t="s">
        <v>10800</v>
      </c>
      <c r="Z800" t="s">
        <v>74</v>
      </c>
      <c r="AA800" t="s">
        <v>10801</v>
      </c>
      <c r="AB800" t="s">
        <v>10802</v>
      </c>
      <c r="AC800" t="s">
        <v>74</v>
      </c>
      <c r="AD800" t="s">
        <v>74</v>
      </c>
      <c r="AE800" t="s">
        <v>74</v>
      </c>
      <c r="AF800" t="s">
        <v>74</v>
      </c>
      <c r="AG800">
        <v>7</v>
      </c>
      <c r="AH800">
        <v>2</v>
      </c>
      <c r="AI800">
        <v>2</v>
      </c>
      <c r="AJ800">
        <v>0</v>
      </c>
      <c r="AK800">
        <v>1</v>
      </c>
      <c r="AL800" t="s">
        <v>79</v>
      </c>
      <c r="AM800" t="s">
        <v>80</v>
      </c>
      <c r="AN800" t="s">
        <v>81</v>
      </c>
      <c r="AO800" t="s">
        <v>10803</v>
      </c>
      <c r="AP800" t="s">
        <v>74</v>
      </c>
      <c r="AQ800" t="s">
        <v>74</v>
      </c>
      <c r="AR800" t="s">
        <v>10804</v>
      </c>
      <c r="AS800" t="s">
        <v>10805</v>
      </c>
      <c r="AT800" t="s">
        <v>10806</v>
      </c>
      <c r="AU800">
        <v>2001</v>
      </c>
      <c r="AV800">
        <v>33</v>
      </c>
      <c r="AW800" t="s">
        <v>10807</v>
      </c>
      <c r="AX800" t="s">
        <v>74</v>
      </c>
      <c r="AY800" t="s">
        <v>74</v>
      </c>
      <c r="AZ800" t="s">
        <v>74</v>
      </c>
      <c r="BA800" t="s">
        <v>74</v>
      </c>
      <c r="BB800">
        <v>609</v>
      </c>
      <c r="BC800">
        <v>617</v>
      </c>
      <c r="BD800" t="s">
        <v>74</v>
      </c>
      <c r="BE800" t="s">
        <v>10808</v>
      </c>
      <c r="BF800" t="str">
        <f>HYPERLINK("http://dx.doi.org/10.1016/S0895-7177(00)00265-X","http://dx.doi.org/10.1016/S0895-7177(00)00265-X")</f>
        <v>http://dx.doi.org/10.1016/S0895-7177(00)00265-X</v>
      </c>
      <c r="BG800" t="s">
        <v>74</v>
      </c>
      <c r="BH800" t="s">
        <v>74</v>
      </c>
      <c r="BI800">
        <v>9</v>
      </c>
      <c r="BJ800" t="s">
        <v>10809</v>
      </c>
      <c r="BK800" t="s">
        <v>453</v>
      </c>
      <c r="BL800" t="s">
        <v>10810</v>
      </c>
      <c r="BM800" t="s">
        <v>10811</v>
      </c>
      <c r="BN800" t="s">
        <v>74</v>
      </c>
      <c r="BO800" t="s">
        <v>359</v>
      </c>
      <c r="BP800" t="s">
        <v>74</v>
      </c>
      <c r="BQ800" t="s">
        <v>74</v>
      </c>
      <c r="BR800" t="s">
        <v>91</v>
      </c>
      <c r="BS800" t="s">
        <v>10812</v>
      </c>
      <c r="BT800" t="str">
        <f>HYPERLINK("https%3A%2F%2Fwww.webofscience.com%2Fwos%2Fwoscc%2Ffull-record%2FWOS:000167229600006","View Full Record in Web of Science")</f>
        <v>View Full Record in Web of Science</v>
      </c>
    </row>
    <row r="801" spans="1:72" x14ac:dyDescent="0.15">
      <c r="A801" t="s">
        <v>72</v>
      </c>
      <c r="B801" t="s">
        <v>10813</v>
      </c>
      <c r="C801" t="s">
        <v>74</v>
      </c>
      <c r="D801" t="s">
        <v>74</v>
      </c>
      <c r="E801" t="s">
        <v>74</v>
      </c>
      <c r="F801" t="s">
        <v>10813</v>
      </c>
      <c r="G801" t="s">
        <v>74</v>
      </c>
      <c r="H801" t="s">
        <v>74</v>
      </c>
      <c r="I801" t="s">
        <v>10814</v>
      </c>
      <c r="J801" t="s">
        <v>10815</v>
      </c>
      <c r="K801" t="s">
        <v>74</v>
      </c>
      <c r="L801" t="s">
        <v>74</v>
      </c>
      <c r="M801" t="s">
        <v>77</v>
      </c>
      <c r="N801" t="s">
        <v>120</v>
      </c>
      <c r="O801" t="s">
        <v>74</v>
      </c>
      <c r="P801" t="s">
        <v>74</v>
      </c>
      <c r="Q801" t="s">
        <v>74</v>
      </c>
      <c r="R801" t="s">
        <v>74</v>
      </c>
      <c r="S801" t="s">
        <v>74</v>
      </c>
      <c r="T801" t="s">
        <v>10816</v>
      </c>
      <c r="U801" t="s">
        <v>10817</v>
      </c>
      <c r="V801" t="s">
        <v>10818</v>
      </c>
      <c r="W801" t="s">
        <v>461</v>
      </c>
      <c r="X801" t="s">
        <v>462</v>
      </c>
      <c r="Y801" t="s">
        <v>3171</v>
      </c>
      <c r="Z801" t="s">
        <v>74</v>
      </c>
      <c r="AA801" t="s">
        <v>74</v>
      </c>
      <c r="AB801" t="s">
        <v>74</v>
      </c>
      <c r="AC801" t="s">
        <v>74</v>
      </c>
      <c r="AD801" t="s">
        <v>74</v>
      </c>
      <c r="AE801" t="s">
        <v>74</v>
      </c>
      <c r="AF801" t="s">
        <v>74</v>
      </c>
      <c r="AG801">
        <v>36</v>
      </c>
      <c r="AH801">
        <v>10</v>
      </c>
      <c r="AI801">
        <v>11</v>
      </c>
      <c r="AJ801">
        <v>3</v>
      </c>
      <c r="AK801">
        <v>13</v>
      </c>
      <c r="AL801" t="s">
        <v>248</v>
      </c>
      <c r="AM801" t="s">
        <v>204</v>
      </c>
      <c r="AN801" t="s">
        <v>1622</v>
      </c>
      <c r="AO801" t="s">
        <v>10819</v>
      </c>
      <c r="AP801" t="s">
        <v>10820</v>
      </c>
      <c r="AQ801" t="s">
        <v>74</v>
      </c>
      <c r="AR801" t="s">
        <v>10821</v>
      </c>
      <c r="AS801" t="s">
        <v>10822</v>
      </c>
      <c r="AT801" t="s">
        <v>10127</v>
      </c>
      <c r="AU801">
        <v>2001</v>
      </c>
      <c r="AV801">
        <v>23</v>
      </c>
      <c r="AW801" t="s">
        <v>3507</v>
      </c>
      <c r="AX801" t="s">
        <v>74</v>
      </c>
      <c r="AY801" t="s">
        <v>74</v>
      </c>
      <c r="AZ801" t="s">
        <v>74</v>
      </c>
      <c r="BA801" t="s">
        <v>74</v>
      </c>
      <c r="BB801">
        <v>231</v>
      </c>
      <c r="BC801">
        <v>246</v>
      </c>
      <c r="BD801" t="s">
        <v>74</v>
      </c>
      <c r="BE801" t="s">
        <v>10823</v>
      </c>
      <c r="BF801" t="str">
        <f>HYPERLINK("http://dx.doi.org/10.1023/A:1011178016473","http://dx.doi.org/10.1023/A:1011178016473")</f>
        <v>http://dx.doi.org/10.1023/A:1011178016473</v>
      </c>
      <c r="BG801" t="s">
        <v>74</v>
      </c>
      <c r="BH801" t="s">
        <v>74</v>
      </c>
      <c r="BI801">
        <v>16</v>
      </c>
      <c r="BJ801" t="s">
        <v>10824</v>
      </c>
      <c r="BK801" t="s">
        <v>88</v>
      </c>
      <c r="BL801" t="s">
        <v>10825</v>
      </c>
      <c r="BM801" t="s">
        <v>10826</v>
      </c>
      <c r="BN801" t="s">
        <v>74</v>
      </c>
      <c r="BO801" t="s">
        <v>74</v>
      </c>
      <c r="BP801" t="s">
        <v>74</v>
      </c>
      <c r="BQ801" t="s">
        <v>74</v>
      </c>
      <c r="BR801" t="s">
        <v>91</v>
      </c>
      <c r="BS801" t="s">
        <v>10827</v>
      </c>
      <c r="BT801" t="str">
        <f>HYPERLINK("https%3A%2F%2Fwww.webofscience.com%2Fwos%2Fwoscc%2Ffull-record%2FWOS:000167853500008","View Full Record in Web of Science")</f>
        <v>View Full Record in Web of Science</v>
      </c>
    </row>
    <row r="802" spans="1:72" x14ac:dyDescent="0.15">
      <c r="A802" t="s">
        <v>72</v>
      </c>
      <c r="B802" t="s">
        <v>10828</v>
      </c>
      <c r="C802" t="s">
        <v>74</v>
      </c>
      <c r="D802" t="s">
        <v>74</v>
      </c>
      <c r="E802" t="s">
        <v>74</v>
      </c>
      <c r="F802" t="s">
        <v>10828</v>
      </c>
      <c r="G802" t="s">
        <v>74</v>
      </c>
      <c r="H802" t="s">
        <v>74</v>
      </c>
      <c r="I802" t="s">
        <v>10829</v>
      </c>
      <c r="J802" t="s">
        <v>10830</v>
      </c>
      <c r="K802" t="s">
        <v>74</v>
      </c>
      <c r="L802" t="s">
        <v>74</v>
      </c>
      <c r="M802" t="s">
        <v>77</v>
      </c>
      <c r="N802" t="s">
        <v>120</v>
      </c>
      <c r="O802" t="s">
        <v>74</v>
      </c>
      <c r="P802" t="s">
        <v>74</v>
      </c>
      <c r="Q802" t="s">
        <v>74</v>
      </c>
      <c r="R802" t="s">
        <v>74</v>
      </c>
      <c r="S802" t="s">
        <v>74</v>
      </c>
      <c r="T802" t="s">
        <v>10831</v>
      </c>
      <c r="U802" t="s">
        <v>10832</v>
      </c>
      <c r="V802" t="s">
        <v>10833</v>
      </c>
      <c r="W802" t="s">
        <v>10834</v>
      </c>
      <c r="X802" t="s">
        <v>74</v>
      </c>
      <c r="Y802" t="s">
        <v>10835</v>
      </c>
      <c r="Z802" t="s">
        <v>74</v>
      </c>
      <c r="AA802" t="s">
        <v>74</v>
      </c>
      <c r="AB802" t="s">
        <v>74</v>
      </c>
      <c r="AC802" t="s">
        <v>74</v>
      </c>
      <c r="AD802" t="s">
        <v>74</v>
      </c>
      <c r="AE802" t="s">
        <v>74</v>
      </c>
      <c r="AF802" t="s">
        <v>74</v>
      </c>
      <c r="AG802">
        <v>22</v>
      </c>
      <c r="AH802">
        <v>50</v>
      </c>
      <c r="AI802">
        <v>56</v>
      </c>
      <c r="AJ802">
        <v>2</v>
      </c>
      <c r="AK802">
        <v>34</v>
      </c>
      <c r="AL802" t="s">
        <v>4072</v>
      </c>
      <c r="AM802" t="s">
        <v>4073</v>
      </c>
      <c r="AN802" t="s">
        <v>4074</v>
      </c>
      <c r="AO802" t="s">
        <v>10836</v>
      </c>
      <c r="AP802" t="s">
        <v>74</v>
      </c>
      <c r="AQ802" t="s">
        <v>74</v>
      </c>
      <c r="AR802" t="s">
        <v>10837</v>
      </c>
      <c r="AS802" t="s">
        <v>10838</v>
      </c>
      <c r="AT802" t="s">
        <v>10127</v>
      </c>
      <c r="AU802">
        <v>2001</v>
      </c>
      <c r="AV802">
        <v>28</v>
      </c>
      <c r="AW802">
        <v>1</v>
      </c>
      <c r="AX802" t="s">
        <v>74</v>
      </c>
      <c r="AY802" t="s">
        <v>74</v>
      </c>
      <c r="AZ802" t="s">
        <v>74</v>
      </c>
      <c r="BA802" t="s">
        <v>74</v>
      </c>
      <c r="BB802">
        <v>1</v>
      </c>
      <c r="BC802">
        <v>12</v>
      </c>
      <c r="BD802" t="s">
        <v>74</v>
      </c>
      <c r="BE802" t="s">
        <v>10839</v>
      </c>
      <c r="BF802" t="str">
        <f>HYPERLINK("http://dx.doi.org/10.1080/03014223.2001.9518252","http://dx.doi.org/10.1080/03014223.2001.9518252")</f>
        <v>http://dx.doi.org/10.1080/03014223.2001.9518252</v>
      </c>
      <c r="BG802" t="s">
        <v>74</v>
      </c>
      <c r="BH802" t="s">
        <v>74</v>
      </c>
      <c r="BI802">
        <v>12</v>
      </c>
      <c r="BJ802" t="s">
        <v>408</v>
      </c>
      <c r="BK802" t="s">
        <v>88</v>
      </c>
      <c r="BL802" t="s">
        <v>408</v>
      </c>
      <c r="BM802" t="s">
        <v>10840</v>
      </c>
      <c r="BN802" t="s">
        <v>74</v>
      </c>
      <c r="BO802" t="s">
        <v>74</v>
      </c>
      <c r="BP802" t="s">
        <v>74</v>
      </c>
      <c r="BQ802" t="s">
        <v>74</v>
      </c>
      <c r="BR802" t="s">
        <v>91</v>
      </c>
      <c r="BS802" t="s">
        <v>10841</v>
      </c>
      <c r="BT802" t="str">
        <f>HYPERLINK("https%3A%2F%2Fwww.webofscience.com%2Fwos%2Fwoscc%2Ffull-record%2FWOS:000168531600001","View Full Record in Web of Science")</f>
        <v>View Full Record in Web of Science</v>
      </c>
    </row>
    <row r="803" spans="1:72" x14ac:dyDescent="0.15">
      <c r="A803" t="s">
        <v>72</v>
      </c>
      <c r="B803" t="s">
        <v>10842</v>
      </c>
      <c r="C803" t="s">
        <v>74</v>
      </c>
      <c r="D803" t="s">
        <v>74</v>
      </c>
      <c r="E803" t="s">
        <v>74</v>
      </c>
      <c r="F803" t="s">
        <v>10842</v>
      </c>
      <c r="G803" t="s">
        <v>74</v>
      </c>
      <c r="H803" t="s">
        <v>74</v>
      </c>
      <c r="I803" t="s">
        <v>10843</v>
      </c>
      <c r="J803" t="s">
        <v>10844</v>
      </c>
      <c r="K803" t="s">
        <v>74</v>
      </c>
      <c r="L803" t="s">
        <v>74</v>
      </c>
      <c r="M803" t="s">
        <v>77</v>
      </c>
      <c r="N803" t="s">
        <v>120</v>
      </c>
      <c r="O803" t="s">
        <v>74</v>
      </c>
      <c r="P803" t="s">
        <v>74</v>
      </c>
      <c r="Q803" t="s">
        <v>74</v>
      </c>
      <c r="R803" t="s">
        <v>74</v>
      </c>
      <c r="S803" t="s">
        <v>74</v>
      </c>
      <c r="T803" t="s">
        <v>74</v>
      </c>
      <c r="U803" t="s">
        <v>10845</v>
      </c>
      <c r="V803" t="s">
        <v>10846</v>
      </c>
      <c r="W803" t="s">
        <v>10847</v>
      </c>
      <c r="X803" t="s">
        <v>3259</v>
      </c>
      <c r="Y803" t="s">
        <v>10848</v>
      </c>
      <c r="Z803" t="s">
        <v>74</v>
      </c>
      <c r="AA803" t="s">
        <v>10849</v>
      </c>
      <c r="AB803" t="s">
        <v>10850</v>
      </c>
      <c r="AC803" t="s">
        <v>74</v>
      </c>
      <c r="AD803" t="s">
        <v>74</v>
      </c>
      <c r="AE803" t="s">
        <v>74</v>
      </c>
      <c r="AF803" t="s">
        <v>74</v>
      </c>
      <c r="AG803">
        <v>22</v>
      </c>
      <c r="AH803">
        <v>4</v>
      </c>
      <c r="AI803">
        <v>4</v>
      </c>
      <c r="AJ803">
        <v>0</v>
      </c>
      <c r="AK803">
        <v>2</v>
      </c>
      <c r="AL803" t="s">
        <v>4670</v>
      </c>
      <c r="AM803" t="s">
        <v>4671</v>
      </c>
      <c r="AN803" t="s">
        <v>4672</v>
      </c>
      <c r="AO803" t="s">
        <v>10851</v>
      </c>
      <c r="AP803" t="s">
        <v>74</v>
      </c>
      <c r="AQ803" t="s">
        <v>74</v>
      </c>
      <c r="AR803" t="s">
        <v>10852</v>
      </c>
      <c r="AS803" t="s">
        <v>10853</v>
      </c>
      <c r="AT803" t="s">
        <v>10806</v>
      </c>
      <c r="AU803">
        <v>2001</v>
      </c>
      <c r="AV803">
        <v>24</v>
      </c>
      <c r="AW803">
        <v>2</v>
      </c>
      <c r="AX803" t="s">
        <v>74</v>
      </c>
      <c r="AY803" t="s">
        <v>74</v>
      </c>
      <c r="AZ803" t="s">
        <v>74</v>
      </c>
      <c r="BA803" t="s">
        <v>74</v>
      </c>
      <c r="BB803">
        <v>313</v>
      </c>
      <c r="BC803">
        <v>327</v>
      </c>
      <c r="BD803" t="s">
        <v>74</v>
      </c>
      <c r="BE803" t="s">
        <v>74</v>
      </c>
      <c r="BF803" t="s">
        <v>74</v>
      </c>
      <c r="BG803" t="s">
        <v>74</v>
      </c>
      <c r="BH803" t="s">
        <v>74</v>
      </c>
      <c r="BI803">
        <v>15</v>
      </c>
      <c r="BJ803" t="s">
        <v>74</v>
      </c>
      <c r="BK803" t="s">
        <v>88</v>
      </c>
      <c r="BL803" t="s">
        <v>74</v>
      </c>
      <c r="BM803" t="s">
        <v>10854</v>
      </c>
      <c r="BN803" t="s">
        <v>74</v>
      </c>
      <c r="BO803" t="s">
        <v>74</v>
      </c>
      <c r="BP803" t="s">
        <v>74</v>
      </c>
      <c r="BQ803" t="s">
        <v>74</v>
      </c>
      <c r="BR803" t="s">
        <v>91</v>
      </c>
      <c r="BS803" t="s">
        <v>10855</v>
      </c>
      <c r="BT803" t="str">
        <f>HYPERLINK("https%3A%2F%2Fwww.webofscience.com%2Fwos%2Fwoscc%2Ffull-record%2FWOS:000169146500006","View Full Record in Web of Science")</f>
        <v>View Full Record in Web of Science</v>
      </c>
    </row>
    <row r="804" spans="1:72" x14ac:dyDescent="0.15">
      <c r="A804" t="s">
        <v>72</v>
      </c>
      <c r="B804" t="s">
        <v>10856</v>
      </c>
      <c r="C804" t="s">
        <v>74</v>
      </c>
      <c r="D804" t="s">
        <v>74</v>
      </c>
      <c r="E804" t="s">
        <v>74</v>
      </c>
      <c r="F804" t="s">
        <v>10856</v>
      </c>
      <c r="G804" t="s">
        <v>74</v>
      </c>
      <c r="H804" t="s">
        <v>74</v>
      </c>
      <c r="I804" t="s">
        <v>10857</v>
      </c>
      <c r="J804" t="s">
        <v>10858</v>
      </c>
      <c r="K804" t="s">
        <v>74</v>
      </c>
      <c r="L804" t="s">
        <v>74</v>
      </c>
      <c r="M804" t="s">
        <v>77</v>
      </c>
      <c r="N804" t="s">
        <v>120</v>
      </c>
      <c r="O804" t="s">
        <v>74</v>
      </c>
      <c r="P804" t="s">
        <v>74</v>
      </c>
      <c r="Q804" t="s">
        <v>74</v>
      </c>
      <c r="R804" t="s">
        <v>74</v>
      </c>
      <c r="S804" t="s">
        <v>74</v>
      </c>
      <c r="T804" t="s">
        <v>74</v>
      </c>
      <c r="U804" t="s">
        <v>10859</v>
      </c>
      <c r="V804" t="s">
        <v>10860</v>
      </c>
      <c r="W804" t="s">
        <v>10861</v>
      </c>
      <c r="X804" t="s">
        <v>10862</v>
      </c>
      <c r="Y804" t="s">
        <v>10863</v>
      </c>
      <c r="Z804" t="s">
        <v>74</v>
      </c>
      <c r="AA804" t="s">
        <v>10864</v>
      </c>
      <c r="AB804" t="s">
        <v>10865</v>
      </c>
      <c r="AC804" t="s">
        <v>74</v>
      </c>
      <c r="AD804" t="s">
        <v>74</v>
      </c>
      <c r="AE804" t="s">
        <v>74</v>
      </c>
      <c r="AF804" t="s">
        <v>74</v>
      </c>
      <c r="AG804">
        <v>12</v>
      </c>
      <c r="AH804">
        <v>2</v>
      </c>
      <c r="AI804">
        <v>2</v>
      </c>
      <c r="AJ804">
        <v>0</v>
      </c>
      <c r="AK804">
        <v>1</v>
      </c>
      <c r="AL804" t="s">
        <v>3678</v>
      </c>
      <c r="AM804" t="s">
        <v>3679</v>
      </c>
      <c r="AN804" t="s">
        <v>3680</v>
      </c>
      <c r="AO804" t="s">
        <v>10866</v>
      </c>
      <c r="AP804" t="s">
        <v>74</v>
      </c>
      <c r="AQ804" t="s">
        <v>74</v>
      </c>
      <c r="AR804" t="s">
        <v>10867</v>
      </c>
      <c r="AS804" t="s">
        <v>10868</v>
      </c>
      <c r="AT804" t="s">
        <v>10806</v>
      </c>
      <c r="AU804">
        <v>2001</v>
      </c>
      <c r="AV804">
        <v>41</v>
      </c>
      <c r="AW804">
        <v>2</v>
      </c>
      <c r="AX804" t="s">
        <v>74</v>
      </c>
      <c r="AY804" t="s">
        <v>74</v>
      </c>
      <c r="AZ804" t="s">
        <v>74</v>
      </c>
      <c r="BA804" t="s">
        <v>74</v>
      </c>
      <c r="BB804">
        <v>189</v>
      </c>
      <c r="BC804">
        <v>194</v>
      </c>
      <c r="BD804" t="s">
        <v>74</v>
      </c>
      <c r="BE804" t="s">
        <v>74</v>
      </c>
      <c r="BF804" t="s">
        <v>74</v>
      </c>
      <c r="BG804" t="s">
        <v>74</v>
      </c>
      <c r="BH804" t="s">
        <v>74</v>
      </c>
      <c r="BI804">
        <v>6</v>
      </c>
      <c r="BJ804" t="s">
        <v>668</v>
      </c>
      <c r="BK804" t="s">
        <v>88</v>
      </c>
      <c r="BL804" t="s">
        <v>668</v>
      </c>
      <c r="BM804" t="s">
        <v>10869</v>
      </c>
      <c r="BN804" t="s">
        <v>74</v>
      </c>
      <c r="BO804" t="s">
        <v>74</v>
      </c>
      <c r="BP804" t="s">
        <v>74</v>
      </c>
      <c r="BQ804" t="s">
        <v>74</v>
      </c>
      <c r="BR804" t="s">
        <v>91</v>
      </c>
      <c r="BS804" t="s">
        <v>10870</v>
      </c>
      <c r="BT804" t="str">
        <f>HYPERLINK("https%3A%2F%2Fwww.webofscience.com%2Fwos%2Fwoscc%2Ffull-record%2FWOS:000168361800006","View Full Record in Web of Science")</f>
        <v>View Full Record in Web of Science</v>
      </c>
    </row>
    <row r="805" spans="1:72" x14ac:dyDescent="0.15">
      <c r="A805" t="s">
        <v>72</v>
      </c>
      <c r="B805" t="s">
        <v>3304</v>
      </c>
      <c r="C805" t="s">
        <v>74</v>
      </c>
      <c r="D805" t="s">
        <v>74</v>
      </c>
      <c r="E805" t="s">
        <v>74</v>
      </c>
      <c r="F805" t="s">
        <v>3304</v>
      </c>
      <c r="G805" t="s">
        <v>74</v>
      </c>
      <c r="H805" t="s">
        <v>74</v>
      </c>
      <c r="I805" t="s">
        <v>10871</v>
      </c>
      <c r="J805" t="s">
        <v>175</v>
      </c>
      <c r="K805" t="s">
        <v>74</v>
      </c>
      <c r="L805" t="s">
        <v>74</v>
      </c>
      <c r="M805" t="s">
        <v>77</v>
      </c>
      <c r="N805" t="s">
        <v>120</v>
      </c>
      <c r="O805" t="s">
        <v>74</v>
      </c>
      <c r="P805" t="s">
        <v>74</v>
      </c>
      <c r="Q805" t="s">
        <v>74</v>
      </c>
      <c r="R805" t="s">
        <v>74</v>
      </c>
      <c r="S805" t="s">
        <v>74</v>
      </c>
      <c r="T805" t="s">
        <v>10872</v>
      </c>
      <c r="U805" t="s">
        <v>10873</v>
      </c>
      <c r="V805" t="s">
        <v>10874</v>
      </c>
      <c r="W805" t="s">
        <v>3309</v>
      </c>
      <c r="X805" t="s">
        <v>3310</v>
      </c>
      <c r="Y805" t="s">
        <v>10875</v>
      </c>
      <c r="Z805" t="s">
        <v>74</v>
      </c>
      <c r="AA805" t="s">
        <v>10876</v>
      </c>
      <c r="AB805" t="s">
        <v>10877</v>
      </c>
      <c r="AC805" t="s">
        <v>74</v>
      </c>
      <c r="AD805" t="s">
        <v>74</v>
      </c>
      <c r="AE805" t="s">
        <v>74</v>
      </c>
      <c r="AF805" t="s">
        <v>74</v>
      </c>
      <c r="AG805">
        <v>29</v>
      </c>
      <c r="AH805">
        <v>31</v>
      </c>
      <c r="AI805">
        <v>33</v>
      </c>
      <c r="AJ805">
        <v>0</v>
      </c>
      <c r="AK805">
        <v>20</v>
      </c>
      <c r="AL805" t="s">
        <v>182</v>
      </c>
      <c r="AM805" t="s">
        <v>183</v>
      </c>
      <c r="AN805" t="s">
        <v>184</v>
      </c>
      <c r="AO805" t="s">
        <v>185</v>
      </c>
      <c r="AP805" t="s">
        <v>74</v>
      </c>
      <c r="AQ805" t="s">
        <v>74</v>
      </c>
      <c r="AR805" t="s">
        <v>175</v>
      </c>
      <c r="AS805" t="s">
        <v>186</v>
      </c>
      <c r="AT805" t="s">
        <v>10127</v>
      </c>
      <c r="AU805">
        <v>2001</v>
      </c>
      <c r="AV805">
        <v>45</v>
      </c>
      <c r="AW805">
        <v>2</v>
      </c>
      <c r="AX805" t="s">
        <v>74</v>
      </c>
      <c r="AY805" t="s">
        <v>74</v>
      </c>
      <c r="AZ805" t="s">
        <v>74</v>
      </c>
      <c r="BA805" t="s">
        <v>74</v>
      </c>
      <c r="BB805">
        <v>134</v>
      </c>
      <c r="BC805">
        <v>145</v>
      </c>
      <c r="BD805" t="s">
        <v>74</v>
      </c>
      <c r="BE805" t="s">
        <v>10878</v>
      </c>
      <c r="BF805" t="str">
        <f>HYPERLINK("http://dx.doi.org/10.1078/0031-4056-00075","http://dx.doi.org/10.1078/0031-4056-00075")</f>
        <v>http://dx.doi.org/10.1078/0031-4056-00075</v>
      </c>
      <c r="BG805" t="s">
        <v>74</v>
      </c>
      <c r="BH805" t="s">
        <v>74</v>
      </c>
      <c r="BI805">
        <v>12</v>
      </c>
      <c r="BJ805" t="s">
        <v>188</v>
      </c>
      <c r="BK805" t="s">
        <v>88</v>
      </c>
      <c r="BL805" t="s">
        <v>189</v>
      </c>
      <c r="BM805" t="s">
        <v>10879</v>
      </c>
      <c r="BN805" t="s">
        <v>74</v>
      </c>
      <c r="BO805" t="s">
        <v>74</v>
      </c>
      <c r="BP805" t="s">
        <v>74</v>
      </c>
      <c r="BQ805" t="s">
        <v>74</v>
      </c>
      <c r="BR805" t="s">
        <v>91</v>
      </c>
      <c r="BS805" t="s">
        <v>10880</v>
      </c>
      <c r="BT805" t="str">
        <f>HYPERLINK("https%3A%2F%2Fwww.webofscience.com%2Fwos%2Fwoscc%2Ffull-record%2FWOS:000168127100005","View Full Record in Web of Science")</f>
        <v>View Full Record in Web of Science</v>
      </c>
    </row>
    <row r="806" spans="1:72" x14ac:dyDescent="0.15">
      <c r="A806" t="s">
        <v>72</v>
      </c>
      <c r="B806" t="s">
        <v>10881</v>
      </c>
      <c r="C806" t="s">
        <v>74</v>
      </c>
      <c r="D806" t="s">
        <v>74</v>
      </c>
      <c r="E806" t="s">
        <v>74</v>
      </c>
      <c r="F806" t="s">
        <v>10881</v>
      </c>
      <c r="G806" t="s">
        <v>74</v>
      </c>
      <c r="H806" t="s">
        <v>74</v>
      </c>
      <c r="I806" t="s">
        <v>10882</v>
      </c>
      <c r="J806" t="s">
        <v>10883</v>
      </c>
      <c r="K806" t="s">
        <v>74</v>
      </c>
      <c r="L806" t="s">
        <v>74</v>
      </c>
      <c r="M806" t="s">
        <v>77</v>
      </c>
      <c r="N806" t="s">
        <v>414</v>
      </c>
      <c r="O806" t="s">
        <v>74</v>
      </c>
      <c r="P806" t="s">
        <v>74</v>
      </c>
      <c r="Q806" t="s">
        <v>74</v>
      </c>
      <c r="R806" t="s">
        <v>74</v>
      </c>
      <c r="S806" t="s">
        <v>74</v>
      </c>
      <c r="T806" t="s">
        <v>10884</v>
      </c>
      <c r="U806" t="s">
        <v>10885</v>
      </c>
      <c r="V806" t="s">
        <v>10886</v>
      </c>
      <c r="W806" t="s">
        <v>10887</v>
      </c>
      <c r="X806" t="s">
        <v>5621</v>
      </c>
      <c r="Y806" t="s">
        <v>10888</v>
      </c>
      <c r="Z806" t="s">
        <v>74</v>
      </c>
      <c r="AA806" t="s">
        <v>74</v>
      </c>
      <c r="AB806" t="s">
        <v>74</v>
      </c>
      <c r="AC806" t="s">
        <v>74</v>
      </c>
      <c r="AD806" t="s">
        <v>74</v>
      </c>
      <c r="AE806" t="s">
        <v>74</v>
      </c>
      <c r="AF806" t="s">
        <v>74</v>
      </c>
      <c r="AG806">
        <v>13</v>
      </c>
      <c r="AH806">
        <v>1</v>
      </c>
      <c r="AI806">
        <v>1</v>
      </c>
      <c r="AJ806">
        <v>0</v>
      </c>
      <c r="AK806">
        <v>3</v>
      </c>
      <c r="AL806" t="s">
        <v>488</v>
      </c>
      <c r="AM806" t="s">
        <v>350</v>
      </c>
      <c r="AN806" t="s">
        <v>489</v>
      </c>
      <c r="AO806" t="s">
        <v>10889</v>
      </c>
      <c r="AP806" t="s">
        <v>74</v>
      </c>
      <c r="AQ806" t="s">
        <v>74</v>
      </c>
      <c r="AR806" t="s">
        <v>10890</v>
      </c>
      <c r="AS806" t="s">
        <v>10891</v>
      </c>
      <c r="AT806" t="s">
        <v>10127</v>
      </c>
      <c r="AU806">
        <v>2001</v>
      </c>
      <c r="AV806">
        <v>123</v>
      </c>
      <c r="AW806">
        <v>1</v>
      </c>
      <c r="AX806" t="s">
        <v>74</v>
      </c>
      <c r="AY806" t="s">
        <v>74</v>
      </c>
      <c r="AZ806" t="s">
        <v>74</v>
      </c>
      <c r="BA806" t="s">
        <v>74</v>
      </c>
      <c r="BB806">
        <v>77</v>
      </c>
      <c r="BC806">
        <v>79</v>
      </c>
      <c r="BD806" t="s">
        <v>74</v>
      </c>
      <c r="BE806" t="s">
        <v>10892</v>
      </c>
      <c r="BF806" t="str">
        <f>HYPERLINK("http://dx.doi.org/10.1016/S0031-9201(00)00218-1","http://dx.doi.org/10.1016/S0031-9201(00)00218-1")</f>
        <v>http://dx.doi.org/10.1016/S0031-9201(00)00218-1</v>
      </c>
      <c r="BG806" t="s">
        <v>74</v>
      </c>
      <c r="BH806" t="s">
        <v>74</v>
      </c>
      <c r="BI806">
        <v>3</v>
      </c>
      <c r="BJ806" t="s">
        <v>388</v>
      </c>
      <c r="BK806" t="s">
        <v>88</v>
      </c>
      <c r="BL806" t="s">
        <v>388</v>
      </c>
      <c r="BM806" t="s">
        <v>10893</v>
      </c>
      <c r="BN806" t="s">
        <v>74</v>
      </c>
      <c r="BO806" t="s">
        <v>74</v>
      </c>
      <c r="BP806" t="s">
        <v>74</v>
      </c>
      <c r="BQ806" t="s">
        <v>74</v>
      </c>
      <c r="BR806" t="s">
        <v>91</v>
      </c>
      <c r="BS806" t="s">
        <v>10894</v>
      </c>
      <c r="BT806" t="str">
        <f>HYPERLINK("https%3A%2F%2Fwww.webofscience.com%2Fwos%2Fwoscc%2Ffull-record%2FWOS:000167478700006","View Full Record in Web of Science")</f>
        <v>View Full Record in Web of Science</v>
      </c>
    </row>
    <row r="807" spans="1:72" x14ac:dyDescent="0.15">
      <c r="A807" t="s">
        <v>72</v>
      </c>
      <c r="B807" t="s">
        <v>10895</v>
      </c>
      <c r="C807" t="s">
        <v>74</v>
      </c>
      <c r="D807" t="s">
        <v>74</v>
      </c>
      <c r="E807" t="s">
        <v>74</v>
      </c>
      <c r="F807" t="s">
        <v>10895</v>
      </c>
      <c r="G807" t="s">
        <v>74</v>
      </c>
      <c r="H807" t="s">
        <v>74</v>
      </c>
      <c r="I807" t="s">
        <v>10896</v>
      </c>
      <c r="J807" t="s">
        <v>194</v>
      </c>
      <c r="K807" t="s">
        <v>74</v>
      </c>
      <c r="L807" t="s">
        <v>74</v>
      </c>
      <c r="M807" t="s">
        <v>77</v>
      </c>
      <c r="N807" t="s">
        <v>120</v>
      </c>
      <c r="O807" t="s">
        <v>74</v>
      </c>
      <c r="P807" t="s">
        <v>74</v>
      </c>
      <c r="Q807" t="s">
        <v>74</v>
      </c>
      <c r="R807" t="s">
        <v>74</v>
      </c>
      <c r="S807" t="s">
        <v>74</v>
      </c>
      <c r="T807" t="s">
        <v>74</v>
      </c>
      <c r="U807" t="s">
        <v>10897</v>
      </c>
      <c r="V807" t="s">
        <v>10898</v>
      </c>
      <c r="W807" t="s">
        <v>10899</v>
      </c>
      <c r="X807" t="s">
        <v>10900</v>
      </c>
      <c r="Y807" t="s">
        <v>10901</v>
      </c>
      <c r="Z807" t="s">
        <v>10902</v>
      </c>
      <c r="AA807" t="s">
        <v>10903</v>
      </c>
      <c r="AB807" t="s">
        <v>10904</v>
      </c>
      <c r="AC807" t="s">
        <v>74</v>
      </c>
      <c r="AD807" t="s">
        <v>74</v>
      </c>
      <c r="AE807" t="s">
        <v>74</v>
      </c>
      <c r="AF807" t="s">
        <v>74</v>
      </c>
      <c r="AG807">
        <v>29</v>
      </c>
      <c r="AH807">
        <v>10</v>
      </c>
      <c r="AI807">
        <v>13</v>
      </c>
      <c r="AJ807">
        <v>0</v>
      </c>
      <c r="AK807">
        <v>8</v>
      </c>
      <c r="AL807" t="s">
        <v>248</v>
      </c>
      <c r="AM807" t="s">
        <v>204</v>
      </c>
      <c r="AN807" t="s">
        <v>1622</v>
      </c>
      <c r="AO807" t="s">
        <v>206</v>
      </c>
      <c r="AP807" t="s">
        <v>250</v>
      </c>
      <c r="AQ807" t="s">
        <v>74</v>
      </c>
      <c r="AR807" t="s">
        <v>207</v>
      </c>
      <c r="AS807" t="s">
        <v>208</v>
      </c>
      <c r="AT807" t="s">
        <v>10127</v>
      </c>
      <c r="AU807">
        <v>2001</v>
      </c>
      <c r="AV807">
        <v>24</v>
      </c>
      <c r="AW807">
        <v>3</v>
      </c>
      <c r="AX807" t="s">
        <v>74</v>
      </c>
      <c r="AY807" t="s">
        <v>74</v>
      </c>
      <c r="AZ807" t="s">
        <v>74</v>
      </c>
      <c r="BA807" t="s">
        <v>74</v>
      </c>
      <c r="BB807">
        <v>147</v>
      </c>
      <c r="BC807">
        <v>153</v>
      </c>
      <c r="BD807" t="s">
        <v>74</v>
      </c>
      <c r="BE807" t="s">
        <v>10905</v>
      </c>
      <c r="BF807" t="str">
        <f>HYPERLINK("http://dx.doi.org/10.1007/s003000000186","http://dx.doi.org/10.1007/s003000000186")</f>
        <v>http://dx.doi.org/10.1007/s003000000186</v>
      </c>
      <c r="BG807" t="s">
        <v>74</v>
      </c>
      <c r="BH807" t="s">
        <v>74</v>
      </c>
      <c r="BI807">
        <v>7</v>
      </c>
      <c r="BJ807" t="s">
        <v>209</v>
      </c>
      <c r="BK807" t="s">
        <v>88</v>
      </c>
      <c r="BL807" t="s">
        <v>210</v>
      </c>
      <c r="BM807" t="s">
        <v>10906</v>
      </c>
      <c r="BN807" t="s">
        <v>74</v>
      </c>
      <c r="BO807" t="s">
        <v>74</v>
      </c>
      <c r="BP807" t="s">
        <v>74</v>
      </c>
      <c r="BQ807" t="s">
        <v>74</v>
      </c>
      <c r="BR807" t="s">
        <v>91</v>
      </c>
      <c r="BS807" t="s">
        <v>10907</v>
      </c>
      <c r="BT807" t="str">
        <f>HYPERLINK("https%3A%2F%2Fwww.webofscience.com%2Fwos%2Fwoscc%2Ffull-record%2FWOS:000167404800001","View Full Record in Web of Science")</f>
        <v>View Full Record in Web of Science</v>
      </c>
    </row>
    <row r="808" spans="1:72" x14ac:dyDescent="0.15">
      <c r="A808" t="s">
        <v>72</v>
      </c>
      <c r="B808" t="s">
        <v>10908</v>
      </c>
      <c r="C808" t="s">
        <v>74</v>
      </c>
      <c r="D808" t="s">
        <v>74</v>
      </c>
      <c r="E808" t="s">
        <v>74</v>
      </c>
      <c r="F808" t="s">
        <v>10908</v>
      </c>
      <c r="G808" t="s">
        <v>74</v>
      </c>
      <c r="H808" t="s">
        <v>74</v>
      </c>
      <c r="I808" t="s">
        <v>10909</v>
      </c>
      <c r="J808" t="s">
        <v>194</v>
      </c>
      <c r="K808" t="s">
        <v>74</v>
      </c>
      <c r="L808" t="s">
        <v>74</v>
      </c>
      <c r="M808" t="s">
        <v>77</v>
      </c>
      <c r="N808" t="s">
        <v>120</v>
      </c>
      <c r="O808" t="s">
        <v>74</v>
      </c>
      <c r="P808" t="s">
        <v>74</v>
      </c>
      <c r="Q808" t="s">
        <v>74</v>
      </c>
      <c r="R808" t="s">
        <v>74</v>
      </c>
      <c r="S808" t="s">
        <v>74</v>
      </c>
      <c r="T808" t="s">
        <v>74</v>
      </c>
      <c r="U808" t="s">
        <v>10910</v>
      </c>
      <c r="V808" t="s">
        <v>10911</v>
      </c>
      <c r="W808" t="s">
        <v>10912</v>
      </c>
      <c r="X808" t="s">
        <v>10913</v>
      </c>
      <c r="Y808" t="s">
        <v>10914</v>
      </c>
      <c r="Z808" t="s">
        <v>10915</v>
      </c>
      <c r="AA808" t="s">
        <v>10916</v>
      </c>
      <c r="AB808" t="s">
        <v>74</v>
      </c>
      <c r="AC808" t="s">
        <v>74</v>
      </c>
      <c r="AD808" t="s">
        <v>74</v>
      </c>
      <c r="AE808" t="s">
        <v>74</v>
      </c>
      <c r="AF808" t="s">
        <v>74</v>
      </c>
      <c r="AG808">
        <v>38</v>
      </c>
      <c r="AH808">
        <v>44</v>
      </c>
      <c r="AI808">
        <v>46</v>
      </c>
      <c r="AJ808">
        <v>0</v>
      </c>
      <c r="AK808">
        <v>8</v>
      </c>
      <c r="AL808" t="s">
        <v>248</v>
      </c>
      <c r="AM808" t="s">
        <v>204</v>
      </c>
      <c r="AN808" t="s">
        <v>249</v>
      </c>
      <c r="AO808" t="s">
        <v>206</v>
      </c>
      <c r="AP808" t="s">
        <v>250</v>
      </c>
      <c r="AQ808" t="s">
        <v>74</v>
      </c>
      <c r="AR808" t="s">
        <v>207</v>
      </c>
      <c r="AS808" t="s">
        <v>208</v>
      </c>
      <c r="AT808" t="s">
        <v>10127</v>
      </c>
      <c r="AU808">
        <v>2001</v>
      </c>
      <c r="AV808">
        <v>24</v>
      </c>
      <c r="AW808">
        <v>3</v>
      </c>
      <c r="AX808" t="s">
        <v>74</v>
      </c>
      <c r="AY808" t="s">
        <v>74</v>
      </c>
      <c r="AZ808" t="s">
        <v>74</v>
      </c>
      <c r="BA808" t="s">
        <v>74</v>
      </c>
      <c r="BB808">
        <v>154</v>
      </c>
      <c r="BC808">
        <v>162</v>
      </c>
      <c r="BD808" t="s">
        <v>74</v>
      </c>
      <c r="BE808" t="s">
        <v>10917</v>
      </c>
      <c r="BF808" t="str">
        <f>HYPERLINK("http://dx.doi.org/10.1007/s003000000189","http://dx.doi.org/10.1007/s003000000189")</f>
        <v>http://dx.doi.org/10.1007/s003000000189</v>
      </c>
      <c r="BG808" t="s">
        <v>74</v>
      </c>
      <c r="BH808" t="s">
        <v>74</v>
      </c>
      <c r="BI808">
        <v>9</v>
      </c>
      <c r="BJ808" t="s">
        <v>209</v>
      </c>
      <c r="BK808" t="s">
        <v>88</v>
      </c>
      <c r="BL808" t="s">
        <v>210</v>
      </c>
      <c r="BM808" t="s">
        <v>10906</v>
      </c>
      <c r="BN808" t="s">
        <v>74</v>
      </c>
      <c r="BO808" t="s">
        <v>74</v>
      </c>
      <c r="BP808" t="s">
        <v>74</v>
      </c>
      <c r="BQ808" t="s">
        <v>74</v>
      </c>
      <c r="BR808" t="s">
        <v>91</v>
      </c>
      <c r="BS808" t="s">
        <v>10918</v>
      </c>
      <c r="BT808" t="str">
        <f>HYPERLINK("https%3A%2F%2Fwww.webofscience.com%2Fwos%2Fwoscc%2Ffull-record%2FWOS:000167404800002","View Full Record in Web of Science")</f>
        <v>View Full Record in Web of Science</v>
      </c>
    </row>
    <row r="809" spans="1:72" x14ac:dyDescent="0.15">
      <c r="A809" t="s">
        <v>72</v>
      </c>
      <c r="B809" t="s">
        <v>10919</v>
      </c>
      <c r="C809" t="s">
        <v>74</v>
      </c>
      <c r="D809" t="s">
        <v>74</v>
      </c>
      <c r="E809" t="s">
        <v>74</v>
      </c>
      <c r="F809" t="s">
        <v>10919</v>
      </c>
      <c r="G809" t="s">
        <v>74</v>
      </c>
      <c r="H809" t="s">
        <v>74</v>
      </c>
      <c r="I809" t="s">
        <v>10920</v>
      </c>
      <c r="J809" t="s">
        <v>194</v>
      </c>
      <c r="K809" t="s">
        <v>74</v>
      </c>
      <c r="L809" t="s">
        <v>74</v>
      </c>
      <c r="M809" t="s">
        <v>77</v>
      </c>
      <c r="N809" t="s">
        <v>120</v>
      </c>
      <c r="O809" t="s">
        <v>74</v>
      </c>
      <c r="P809" t="s">
        <v>74</v>
      </c>
      <c r="Q809" t="s">
        <v>74</v>
      </c>
      <c r="R809" t="s">
        <v>74</v>
      </c>
      <c r="S809" t="s">
        <v>74</v>
      </c>
      <c r="T809" t="s">
        <v>74</v>
      </c>
      <c r="U809" t="s">
        <v>10921</v>
      </c>
      <c r="V809" t="s">
        <v>10922</v>
      </c>
      <c r="W809" t="s">
        <v>10923</v>
      </c>
      <c r="X809" t="s">
        <v>10924</v>
      </c>
      <c r="Y809" t="s">
        <v>10925</v>
      </c>
      <c r="Z809" t="s">
        <v>10926</v>
      </c>
      <c r="AA809" t="s">
        <v>10927</v>
      </c>
      <c r="AB809" t="s">
        <v>10928</v>
      </c>
      <c r="AC809" t="s">
        <v>74</v>
      </c>
      <c r="AD809" t="s">
        <v>74</v>
      </c>
      <c r="AE809" t="s">
        <v>74</v>
      </c>
      <c r="AF809" t="s">
        <v>74</v>
      </c>
      <c r="AG809">
        <v>45</v>
      </c>
      <c r="AH809">
        <v>87</v>
      </c>
      <c r="AI809">
        <v>96</v>
      </c>
      <c r="AJ809">
        <v>0</v>
      </c>
      <c r="AK809">
        <v>46</v>
      </c>
      <c r="AL809" t="s">
        <v>248</v>
      </c>
      <c r="AM809" t="s">
        <v>204</v>
      </c>
      <c r="AN809" t="s">
        <v>249</v>
      </c>
      <c r="AO809" t="s">
        <v>206</v>
      </c>
      <c r="AP809" t="s">
        <v>250</v>
      </c>
      <c r="AQ809" t="s">
        <v>74</v>
      </c>
      <c r="AR809" t="s">
        <v>207</v>
      </c>
      <c r="AS809" t="s">
        <v>208</v>
      </c>
      <c r="AT809" t="s">
        <v>10127</v>
      </c>
      <c r="AU809">
        <v>2001</v>
      </c>
      <c r="AV809">
        <v>24</v>
      </c>
      <c r="AW809">
        <v>3</v>
      </c>
      <c r="AX809" t="s">
        <v>74</v>
      </c>
      <c r="AY809" t="s">
        <v>74</v>
      </c>
      <c r="AZ809" t="s">
        <v>74</v>
      </c>
      <c r="BA809" t="s">
        <v>74</v>
      </c>
      <c r="BB809">
        <v>175</v>
      </c>
      <c r="BC809">
        <v>185</v>
      </c>
      <c r="BD809" t="s">
        <v>74</v>
      </c>
      <c r="BE809" t="s">
        <v>10929</v>
      </c>
      <c r="BF809" t="str">
        <f>HYPERLINK("http://dx.doi.org/10.1007/s003000000193","http://dx.doi.org/10.1007/s003000000193")</f>
        <v>http://dx.doi.org/10.1007/s003000000193</v>
      </c>
      <c r="BG809" t="s">
        <v>74</v>
      </c>
      <c r="BH809" t="s">
        <v>74</v>
      </c>
      <c r="BI809">
        <v>11</v>
      </c>
      <c r="BJ809" t="s">
        <v>209</v>
      </c>
      <c r="BK809" t="s">
        <v>88</v>
      </c>
      <c r="BL809" t="s">
        <v>210</v>
      </c>
      <c r="BM809" t="s">
        <v>10906</v>
      </c>
      <c r="BN809" t="s">
        <v>74</v>
      </c>
      <c r="BO809" t="s">
        <v>74</v>
      </c>
      <c r="BP809" t="s">
        <v>74</v>
      </c>
      <c r="BQ809" t="s">
        <v>74</v>
      </c>
      <c r="BR809" t="s">
        <v>91</v>
      </c>
      <c r="BS809" t="s">
        <v>10930</v>
      </c>
      <c r="BT809" t="str">
        <f>HYPERLINK("https%3A%2F%2Fwww.webofscience.com%2Fwos%2Fwoscc%2Ffull-record%2FWOS:000167404800005","View Full Record in Web of Science")</f>
        <v>View Full Record in Web of Science</v>
      </c>
    </row>
    <row r="810" spans="1:72" x14ac:dyDescent="0.15">
      <c r="A810" t="s">
        <v>72</v>
      </c>
      <c r="B810" t="s">
        <v>10931</v>
      </c>
      <c r="C810" t="s">
        <v>74</v>
      </c>
      <c r="D810" t="s">
        <v>74</v>
      </c>
      <c r="E810" t="s">
        <v>74</v>
      </c>
      <c r="F810" t="s">
        <v>10931</v>
      </c>
      <c r="G810" t="s">
        <v>74</v>
      </c>
      <c r="H810" t="s">
        <v>74</v>
      </c>
      <c r="I810" t="s">
        <v>10932</v>
      </c>
      <c r="J810" t="s">
        <v>194</v>
      </c>
      <c r="K810" t="s">
        <v>74</v>
      </c>
      <c r="L810" t="s">
        <v>74</v>
      </c>
      <c r="M810" t="s">
        <v>77</v>
      </c>
      <c r="N810" t="s">
        <v>120</v>
      </c>
      <c r="O810" t="s">
        <v>74</v>
      </c>
      <c r="P810" t="s">
        <v>74</v>
      </c>
      <c r="Q810" t="s">
        <v>74</v>
      </c>
      <c r="R810" t="s">
        <v>74</v>
      </c>
      <c r="S810" t="s">
        <v>74</v>
      </c>
      <c r="T810" t="s">
        <v>74</v>
      </c>
      <c r="U810" t="s">
        <v>10933</v>
      </c>
      <c r="V810" t="s">
        <v>10934</v>
      </c>
      <c r="W810" t="s">
        <v>10935</v>
      </c>
      <c r="X810" t="s">
        <v>4411</v>
      </c>
      <c r="Y810" t="s">
        <v>10936</v>
      </c>
      <c r="Z810" t="s">
        <v>74</v>
      </c>
      <c r="AA810" t="s">
        <v>74</v>
      </c>
      <c r="AB810" t="s">
        <v>74</v>
      </c>
      <c r="AC810" t="s">
        <v>74</v>
      </c>
      <c r="AD810" t="s">
        <v>74</v>
      </c>
      <c r="AE810" t="s">
        <v>74</v>
      </c>
      <c r="AF810" t="s">
        <v>74</v>
      </c>
      <c r="AG810">
        <v>52</v>
      </c>
      <c r="AH810">
        <v>18</v>
      </c>
      <c r="AI810">
        <v>18</v>
      </c>
      <c r="AJ810">
        <v>0</v>
      </c>
      <c r="AK810">
        <v>5</v>
      </c>
      <c r="AL810" t="s">
        <v>203</v>
      </c>
      <c r="AM810" t="s">
        <v>204</v>
      </c>
      <c r="AN810" t="s">
        <v>205</v>
      </c>
      <c r="AO810" t="s">
        <v>206</v>
      </c>
      <c r="AP810" t="s">
        <v>74</v>
      </c>
      <c r="AQ810" t="s">
        <v>74</v>
      </c>
      <c r="AR810" t="s">
        <v>207</v>
      </c>
      <c r="AS810" t="s">
        <v>208</v>
      </c>
      <c r="AT810" t="s">
        <v>10127</v>
      </c>
      <c r="AU810">
        <v>2001</v>
      </c>
      <c r="AV810">
        <v>24</v>
      </c>
      <c r="AW810">
        <v>3</v>
      </c>
      <c r="AX810" t="s">
        <v>74</v>
      </c>
      <c r="AY810" t="s">
        <v>74</v>
      </c>
      <c r="AZ810" t="s">
        <v>74</v>
      </c>
      <c r="BA810" t="s">
        <v>74</v>
      </c>
      <c r="BB810">
        <v>200</v>
      </c>
      <c r="BC810">
        <v>208</v>
      </c>
      <c r="BD810" t="s">
        <v>74</v>
      </c>
      <c r="BE810" t="s">
        <v>10937</v>
      </c>
      <c r="BF810" t="str">
        <f>HYPERLINK("http://dx.doi.org/10.1007/s003000000196","http://dx.doi.org/10.1007/s003000000196")</f>
        <v>http://dx.doi.org/10.1007/s003000000196</v>
      </c>
      <c r="BG810" t="s">
        <v>74</v>
      </c>
      <c r="BH810" t="s">
        <v>74</v>
      </c>
      <c r="BI810">
        <v>9</v>
      </c>
      <c r="BJ810" t="s">
        <v>209</v>
      </c>
      <c r="BK810" t="s">
        <v>88</v>
      </c>
      <c r="BL810" t="s">
        <v>210</v>
      </c>
      <c r="BM810" t="s">
        <v>10906</v>
      </c>
      <c r="BN810" t="s">
        <v>74</v>
      </c>
      <c r="BO810" t="s">
        <v>74</v>
      </c>
      <c r="BP810" t="s">
        <v>74</v>
      </c>
      <c r="BQ810" t="s">
        <v>74</v>
      </c>
      <c r="BR810" t="s">
        <v>91</v>
      </c>
      <c r="BS810" t="s">
        <v>10938</v>
      </c>
      <c r="BT810" t="str">
        <f>HYPERLINK("https%3A%2F%2Fwww.webofscience.com%2Fwos%2Fwoscc%2Ffull-record%2FWOS:000167404800007","View Full Record in Web of Science")</f>
        <v>View Full Record in Web of Science</v>
      </c>
    </row>
    <row r="811" spans="1:72" x14ac:dyDescent="0.15">
      <c r="A811" t="s">
        <v>72</v>
      </c>
      <c r="B811" t="s">
        <v>10939</v>
      </c>
      <c r="C811" t="s">
        <v>74</v>
      </c>
      <c r="D811" t="s">
        <v>74</v>
      </c>
      <c r="E811" t="s">
        <v>74</v>
      </c>
      <c r="F811" t="s">
        <v>10939</v>
      </c>
      <c r="G811" t="s">
        <v>74</v>
      </c>
      <c r="H811" t="s">
        <v>74</v>
      </c>
      <c r="I811" t="s">
        <v>10940</v>
      </c>
      <c r="J811" t="s">
        <v>1689</v>
      </c>
      <c r="K811" t="s">
        <v>74</v>
      </c>
      <c r="L811" t="s">
        <v>74</v>
      </c>
      <c r="M811" t="s">
        <v>77</v>
      </c>
      <c r="N811" t="s">
        <v>120</v>
      </c>
      <c r="O811" t="s">
        <v>74</v>
      </c>
      <c r="P811" t="s">
        <v>74</v>
      </c>
      <c r="Q811" t="s">
        <v>74</v>
      </c>
      <c r="R811" t="s">
        <v>74</v>
      </c>
      <c r="S811" t="s">
        <v>74</v>
      </c>
      <c r="T811" t="s">
        <v>10941</v>
      </c>
      <c r="U811" t="s">
        <v>10942</v>
      </c>
      <c r="V811" t="s">
        <v>10943</v>
      </c>
      <c r="W811" t="s">
        <v>10944</v>
      </c>
      <c r="X811" t="s">
        <v>6397</v>
      </c>
      <c r="Y811" t="s">
        <v>10945</v>
      </c>
      <c r="Z811" t="s">
        <v>74</v>
      </c>
      <c r="AA811" t="s">
        <v>10946</v>
      </c>
      <c r="AB811" t="s">
        <v>10947</v>
      </c>
      <c r="AC811" t="s">
        <v>74</v>
      </c>
      <c r="AD811" t="s">
        <v>74</v>
      </c>
      <c r="AE811" t="s">
        <v>74</v>
      </c>
      <c r="AF811" t="s">
        <v>74</v>
      </c>
      <c r="AG811">
        <v>49</v>
      </c>
      <c r="AH811">
        <v>98</v>
      </c>
      <c r="AI811">
        <v>114</v>
      </c>
      <c r="AJ811">
        <v>0</v>
      </c>
      <c r="AK811">
        <v>20</v>
      </c>
      <c r="AL811" t="s">
        <v>1132</v>
      </c>
      <c r="AM811" t="s">
        <v>1133</v>
      </c>
      <c r="AN811" t="s">
        <v>1134</v>
      </c>
      <c r="AO811" t="s">
        <v>1700</v>
      </c>
      <c r="AP811" t="s">
        <v>74</v>
      </c>
      <c r="AQ811" t="s">
        <v>74</v>
      </c>
      <c r="AR811" t="s">
        <v>1702</v>
      </c>
      <c r="AS811" t="s">
        <v>1703</v>
      </c>
      <c r="AT811" t="s">
        <v>10127</v>
      </c>
      <c r="AU811">
        <v>2001</v>
      </c>
      <c r="AV811">
        <v>55</v>
      </c>
      <c r="AW811">
        <v>2</v>
      </c>
      <c r="AX811" t="s">
        <v>74</v>
      </c>
      <c r="AY811" t="s">
        <v>74</v>
      </c>
      <c r="AZ811" t="s">
        <v>74</v>
      </c>
      <c r="BA811" t="s">
        <v>74</v>
      </c>
      <c r="BB811">
        <v>168</v>
      </c>
      <c r="BC811">
        <v>178</v>
      </c>
      <c r="BD811" t="s">
        <v>74</v>
      </c>
      <c r="BE811" t="s">
        <v>10948</v>
      </c>
      <c r="BF811" t="str">
        <f>HYPERLINK("http://dx.doi.org/10.1006/qres.2000.2206","http://dx.doi.org/10.1006/qres.2000.2206")</f>
        <v>http://dx.doi.org/10.1006/qres.2000.2206</v>
      </c>
      <c r="BG811" t="s">
        <v>74</v>
      </c>
      <c r="BH811" t="s">
        <v>74</v>
      </c>
      <c r="BI811">
        <v>11</v>
      </c>
      <c r="BJ811" t="s">
        <v>1049</v>
      </c>
      <c r="BK811" t="s">
        <v>88</v>
      </c>
      <c r="BL811" t="s">
        <v>1050</v>
      </c>
      <c r="BM811" t="s">
        <v>10949</v>
      </c>
      <c r="BN811" t="s">
        <v>74</v>
      </c>
      <c r="BO811" t="s">
        <v>74</v>
      </c>
      <c r="BP811" t="s">
        <v>74</v>
      </c>
      <c r="BQ811" t="s">
        <v>74</v>
      </c>
      <c r="BR811" t="s">
        <v>91</v>
      </c>
      <c r="BS811" t="s">
        <v>10950</v>
      </c>
      <c r="BT811" t="str">
        <f>HYPERLINK("https%3A%2F%2Fwww.webofscience.com%2Fwos%2Fwoscc%2Ffull-record%2FWOS:000167804800007","View Full Record in Web of Science")</f>
        <v>View Full Record in Web of Science</v>
      </c>
    </row>
    <row r="812" spans="1:72" x14ac:dyDescent="0.15">
      <c r="A812" t="s">
        <v>72</v>
      </c>
      <c r="B812" t="s">
        <v>10951</v>
      </c>
      <c r="C812" t="s">
        <v>74</v>
      </c>
      <c r="D812" t="s">
        <v>74</v>
      </c>
      <c r="E812" t="s">
        <v>74</v>
      </c>
      <c r="F812" t="s">
        <v>10951</v>
      </c>
      <c r="G812" t="s">
        <v>74</v>
      </c>
      <c r="H812" t="s">
        <v>74</v>
      </c>
      <c r="I812" t="s">
        <v>10952</v>
      </c>
      <c r="J812" t="s">
        <v>305</v>
      </c>
      <c r="K812" t="s">
        <v>74</v>
      </c>
      <c r="L812" t="s">
        <v>74</v>
      </c>
      <c r="M812" t="s">
        <v>77</v>
      </c>
      <c r="N812" t="s">
        <v>120</v>
      </c>
      <c r="O812" t="s">
        <v>74</v>
      </c>
      <c r="P812" t="s">
        <v>74</v>
      </c>
      <c r="Q812" t="s">
        <v>74</v>
      </c>
      <c r="R812" t="s">
        <v>74</v>
      </c>
      <c r="S812" t="s">
        <v>74</v>
      </c>
      <c r="T812" t="s">
        <v>10953</v>
      </c>
      <c r="U812" t="s">
        <v>10954</v>
      </c>
      <c r="V812" t="s">
        <v>10955</v>
      </c>
      <c r="W812" t="s">
        <v>10956</v>
      </c>
      <c r="X812" t="s">
        <v>10957</v>
      </c>
      <c r="Y812" t="s">
        <v>10958</v>
      </c>
      <c r="Z812" t="s">
        <v>10959</v>
      </c>
      <c r="AA812" t="s">
        <v>10960</v>
      </c>
      <c r="AB812" t="s">
        <v>10961</v>
      </c>
      <c r="AC812" t="s">
        <v>74</v>
      </c>
      <c r="AD812" t="s">
        <v>74</v>
      </c>
      <c r="AE812" t="s">
        <v>74</v>
      </c>
      <c r="AF812" t="s">
        <v>74</v>
      </c>
      <c r="AG812">
        <v>47</v>
      </c>
      <c r="AH812">
        <v>6</v>
      </c>
      <c r="AI812">
        <v>6</v>
      </c>
      <c r="AJ812">
        <v>0</v>
      </c>
      <c r="AK812">
        <v>8</v>
      </c>
      <c r="AL812" t="s">
        <v>315</v>
      </c>
      <c r="AM812" t="s">
        <v>316</v>
      </c>
      <c r="AN812" t="s">
        <v>317</v>
      </c>
      <c r="AO812" t="s">
        <v>318</v>
      </c>
      <c r="AP812" t="s">
        <v>319</v>
      </c>
      <c r="AQ812" t="s">
        <v>74</v>
      </c>
      <c r="AR812" t="s">
        <v>320</v>
      </c>
      <c r="AS812" t="s">
        <v>321</v>
      </c>
      <c r="AT812" t="s">
        <v>10127</v>
      </c>
      <c r="AU812">
        <v>2001</v>
      </c>
      <c r="AV812">
        <v>65</v>
      </c>
      <c r="AW812">
        <v>1</v>
      </c>
      <c r="AX812" t="s">
        <v>74</v>
      </c>
      <c r="AY812" t="s">
        <v>74</v>
      </c>
      <c r="AZ812" t="s">
        <v>74</v>
      </c>
      <c r="BA812" t="s">
        <v>74</v>
      </c>
      <c r="BB812">
        <v>1</v>
      </c>
      <c r="BC812">
        <v>10</v>
      </c>
      <c r="BD812" t="s">
        <v>74</v>
      </c>
      <c r="BE812" t="s">
        <v>74</v>
      </c>
      <c r="BF812" t="s">
        <v>74</v>
      </c>
      <c r="BG812" t="s">
        <v>74</v>
      </c>
      <c r="BH812" t="s">
        <v>74</v>
      </c>
      <c r="BI812">
        <v>10</v>
      </c>
      <c r="BJ812" t="s">
        <v>323</v>
      </c>
      <c r="BK812" t="s">
        <v>88</v>
      </c>
      <c r="BL812" t="s">
        <v>323</v>
      </c>
      <c r="BM812" t="s">
        <v>10962</v>
      </c>
      <c r="BN812" t="s">
        <v>74</v>
      </c>
      <c r="BO812" t="s">
        <v>74</v>
      </c>
      <c r="BP812" t="s">
        <v>74</v>
      </c>
      <c r="BQ812" t="s">
        <v>74</v>
      </c>
      <c r="BR812" t="s">
        <v>91</v>
      </c>
      <c r="BS812" t="s">
        <v>10963</v>
      </c>
      <c r="BT812" t="str">
        <f>HYPERLINK("https%3A%2F%2Fwww.webofscience.com%2Fwos%2Fwoscc%2Ffull-record%2FWOS:000167733200001","View Full Record in Web of Science")</f>
        <v>View Full Record in Web of Science</v>
      </c>
    </row>
    <row r="813" spans="1:72" x14ac:dyDescent="0.15">
      <c r="A813" t="s">
        <v>72</v>
      </c>
      <c r="B813" t="s">
        <v>10964</v>
      </c>
      <c r="C813" t="s">
        <v>74</v>
      </c>
      <c r="D813" t="s">
        <v>74</v>
      </c>
      <c r="E813" t="s">
        <v>74</v>
      </c>
      <c r="F813" t="s">
        <v>10964</v>
      </c>
      <c r="G813" t="s">
        <v>74</v>
      </c>
      <c r="H813" t="s">
        <v>74</v>
      </c>
      <c r="I813" t="s">
        <v>10965</v>
      </c>
      <c r="J813" t="s">
        <v>522</v>
      </c>
      <c r="K813" t="s">
        <v>74</v>
      </c>
      <c r="L813" t="s">
        <v>74</v>
      </c>
      <c r="M813" t="s">
        <v>77</v>
      </c>
      <c r="N813" t="s">
        <v>120</v>
      </c>
      <c r="O813" t="s">
        <v>74</v>
      </c>
      <c r="P813" t="s">
        <v>74</v>
      </c>
      <c r="Q813" t="s">
        <v>74</v>
      </c>
      <c r="R813" t="s">
        <v>74</v>
      </c>
      <c r="S813" t="s">
        <v>74</v>
      </c>
      <c r="T813" t="s">
        <v>74</v>
      </c>
      <c r="U813" t="s">
        <v>10966</v>
      </c>
      <c r="V813" t="s">
        <v>10967</v>
      </c>
      <c r="W813" t="s">
        <v>10968</v>
      </c>
      <c r="X813" t="s">
        <v>10969</v>
      </c>
      <c r="Y813" t="s">
        <v>10970</v>
      </c>
      <c r="Z813" t="s">
        <v>74</v>
      </c>
      <c r="AA813" t="s">
        <v>10971</v>
      </c>
      <c r="AB813" t="s">
        <v>10972</v>
      </c>
      <c r="AC813" t="s">
        <v>74</v>
      </c>
      <c r="AD813" t="s">
        <v>74</v>
      </c>
      <c r="AE813" t="s">
        <v>74</v>
      </c>
      <c r="AF813" t="s">
        <v>74</v>
      </c>
      <c r="AG813">
        <v>95</v>
      </c>
      <c r="AH813">
        <v>275</v>
      </c>
      <c r="AI813">
        <v>311</v>
      </c>
      <c r="AJ813">
        <v>0</v>
      </c>
      <c r="AK813">
        <v>48</v>
      </c>
      <c r="AL813" t="s">
        <v>149</v>
      </c>
      <c r="AM813" t="s">
        <v>150</v>
      </c>
      <c r="AN813" t="s">
        <v>151</v>
      </c>
      <c r="AO813" t="s">
        <v>4366</v>
      </c>
      <c r="AP813" t="s">
        <v>74</v>
      </c>
      <c r="AQ813" t="s">
        <v>74</v>
      </c>
      <c r="AR813" t="s">
        <v>533</v>
      </c>
      <c r="AS813" t="s">
        <v>534</v>
      </c>
      <c r="AT813" t="s">
        <v>10973</v>
      </c>
      <c r="AU813">
        <v>2001</v>
      </c>
      <c r="AV813">
        <v>106</v>
      </c>
      <c r="AW813" t="s">
        <v>10974</v>
      </c>
      <c r="AX813" t="s">
        <v>74</v>
      </c>
      <c r="AY813" t="s">
        <v>74</v>
      </c>
      <c r="AZ813" t="s">
        <v>74</v>
      </c>
      <c r="BA813" t="s">
        <v>74</v>
      </c>
      <c r="BB813">
        <v>3321</v>
      </c>
      <c r="BC813">
        <v>3334</v>
      </c>
      <c r="BD813" t="s">
        <v>74</v>
      </c>
      <c r="BE813" t="s">
        <v>10975</v>
      </c>
      <c r="BF813" t="str">
        <f>HYPERLINK("http://dx.doi.org/10.1029/2000JD900444","http://dx.doi.org/10.1029/2000JD900444")</f>
        <v>http://dx.doi.org/10.1029/2000JD900444</v>
      </c>
      <c r="BG813" t="s">
        <v>74</v>
      </c>
      <c r="BH813" t="s">
        <v>74</v>
      </c>
      <c r="BI813">
        <v>14</v>
      </c>
      <c r="BJ813" t="s">
        <v>538</v>
      </c>
      <c r="BK813" t="s">
        <v>88</v>
      </c>
      <c r="BL813" t="s">
        <v>538</v>
      </c>
      <c r="BM813" t="s">
        <v>10976</v>
      </c>
      <c r="BN813" t="s">
        <v>74</v>
      </c>
      <c r="BO813" t="s">
        <v>563</v>
      </c>
      <c r="BP813" t="s">
        <v>74</v>
      </c>
      <c r="BQ813" t="s">
        <v>74</v>
      </c>
      <c r="BR813" t="s">
        <v>91</v>
      </c>
      <c r="BS813" t="s">
        <v>10977</v>
      </c>
      <c r="BT813" t="str">
        <f>HYPERLINK("https%3A%2F%2Fwww.webofscience.com%2Fwos%2Fwoscc%2Ffull-record%2FWOS:000167155600001","View Full Record in Web of Science")</f>
        <v>View Full Record in Web of Science</v>
      </c>
    </row>
    <row r="814" spans="1:72" x14ac:dyDescent="0.15">
      <c r="A814" t="s">
        <v>72</v>
      </c>
      <c r="B814" t="s">
        <v>10978</v>
      </c>
      <c r="C814" t="s">
        <v>74</v>
      </c>
      <c r="D814" t="s">
        <v>74</v>
      </c>
      <c r="E814" t="s">
        <v>74</v>
      </c>
      <c r="F814" t="s">
        <v>10978</v>
      </c>
      <c r="G814" t="s">
        <v>74</v>
      </c>
      <c r="H814" t="s">
        <v>74</v>
      </c>
      <c r="I814" t="s">
        <v>10979</v>
      </c>
      <c r="J814" t="s">
        <v>695</v>
      </c>
      <c r="K814" t="s">
        <v>74</v>
      </c>
      <c r="L814" t="s">
        <v>74</v>
      </c>
      <c r="M814" t="s">
        <v>77</v>
      </c>
      <c r="N814" t="s">
        <v>120</v>
      </c>
      <c r="O814" t="s">
        <v>74</v>
      </c>
      <c r="P814" t="s">
        <v>74</v>
      </c>
      <c r="Q814" t="s">
        <v>74</v>
      </c>
      <c r="R814" t="s">
        <v>74</v>
      </c>
      <c r="S814" t="s">
        <v>74</v>
      </c>
      <c r="T814" t="s">
        <v>74</v>
      </c>
      <c r="U814" t="s">
        <v>10980</v>
      </c>
      <c r="V814" t="s">
        <v>10981</v>
      </c>
      <c r="W814" t="s">
        <v>10982</v>
      </c>
      <c r="X814" t="s">
        <v>10983</v>
      </c>
      <c r="Y814" t="s">
        <v>10984</v>
      </c>
      <c r="Z814" t="s">
        <v>74</v>
      </c>
      <c r="AA814" t="s">
        <v>10985</v>
      </c>
      <c r="AB814" t="s">
        <v>10986</v>
      </c>
      <c r="AC814" t="s">
        <v>74</v>
      </c>
      <c r="AD814" t="s">
        <v>74</v>
      </c>
      <c r="AE814" t="s">
        <v>74</v>
      </c>
      <c r="AF814" t="s">
        <v>74</v>
      </c>
      <c r="AG814">
        <v>29</v>
      </c>
      <c r="AH814">
        <v>382</v>
      </c>
      <c r="AI814">
        <v>420</v>
      </c>
      <c r="AJ814">
        <v>7</v>
      </c>
      <c r="AK814">
        <v>100</v>
      </c>
      <c r="AL814" t="s">
        <v>700</v>
      </c>
      <c r="AM814" t="s">
        <v>683</v>
      </c>
      <c r="AN814" t="s">
        <v>701</v>
      </c>
      <c r="AO814" t="s">
        <v>702</v>
      </c>
      <c r="AP814" t="s">
        <v>74</v>
      </c>
      <c r="AQ814" t="s">
        <v>74</v>
      </c>
      <c r="AR814" t="s">
        <v>695</v>
      </c>
      <c r="AS814" t="s">
        <v>703</v>
      </c>
      <c r="AT814" t="s">
        <v>10987</v>
      </c>
      <c r="AU814">
        <v>2001</v>
      </c>
      <c r="AV814">
        <v>409</v>
      </c>
      <c r="AW814">
        <v>6823</v>
      </c>
      <c r="AX814" t="s">
        <v>74</v>
      </c>
      <c r="AY814" t="s">
        <v>74</v>
      </c>
      <c r="AZ814" t="s">
        <v>74</v>
      </c>
      <c r="BA814" t="s">
        <v>74</v>
      </c>
      <c r="BB814">
        <v>1026</v>
      </c>
      <c r="BC814">
        <v>1029</v>
      </c>
      <c r="BD814" t="s">
        <v>74</v>
      </c>
      <c r="BE814" t="s">
        <v>10988</v>
      </c>
      <c r="BF814" t="str">
        <f>HYPERLINK("http://dx.doi.org/10.1038/35059054","http://dx.doi.org/10.1038/35059054")</f>
        <v>http://dx.doi.org/10.1038/35059054</v>
      </c>
      <c r="BG814" t="s">
        <v>74</v>
      </c>
      <c r="BH814" t="s">
        <v>74</v>
      </c>
      <c r="BI814">
        <v>5</v>
      </c>
      <c r="BJ814" t="s">
        <v>575</v>
      </c>
      <c r="BK814" t="s">
        <v>88</v>
      </c>
      <c r="BL814" t="s">
        <v>576</v>
      </c>
      <c r="BM814" t="s">
        <v>10989</v>
      </c>
      <c r="BN814">
        <v>11234008</v>
      </c>
      <c r="BO814" t="s">
        <v>171</v>
      </c>
      <c r="BP814" t="s">
        <v>74</v>
      </c>
      <c r="BQ814" t="s">
        <v>74</v>
      </c>
      <c r="BR814" t="s">
        <v>91</v>
      </c>
      <c r="BS814" t="s">
        <v>10990</v>
      </c>
      <c r="BT814" t="str">
        <f>HYPERLINK("https%3A%2F%2Fwww.webofscience.com%2Fwos%2Fwoscc%2Ffull-record%2FWOS:000167148800041","View Full Record in Web of Science")</f>
        <v>View Full Record in Web of Science</v>
      </c>
    </row>
    <row r="815" spans="1:72" x14ac:dyDescent="0.15">
      <c r="A815" t="s">
        <v>72</v>
      </c>
      <c r="B815" t="s">
        <v>10991</v>
      </c>
      <c r="C815" t="s">
        <v>74</v>
      </c>
      <c r="D815" t="s">
        <v>74</v>
      </c>
      <c r="E815" t="s">
        <v>74</v>
      </c>
      <c r="F815" t="s">
        <v>10991</v>
      </c>
      <c r="G815" t="s">
        <v>74</v>
      </c>
      <c r="H815" t="s">
        <v>74</v>
      </c>
      <c r="I815" t="s">
        <v>10992</v>
      </c>
      <c r="J815" t="s">
        <v>2045</v>
      </c>
      <c r="K815" t="s">
        <v>74</v>
      </c>
      <c r="L815" t="s">
        <v>74</v>
      </c>
      <c r="M815" t="s">
        <v>77</v>
      </c>
      <c r="N815" t="s">
        <v>120</v>
      </c>
      <c r="O815" t="s">
        <v>74</v>
      </c>
      <c r="P815" t="s">
        <v>74</v>
      </c>
      <c r="Q815" t="s">
        <v>74</v>
      </c>
      <c r="R815" t="s">
        <v>74</v>
      </c>
      <c r="S815" t="s">
        <v>74</v>
      </c>
      <c r="T815" t="s">
        <v>10993</v>
      </c>
      <c r="U815" t="s">
        <v>10994</v>
      </c>
      <c r="V815" t="s">
        <v>10995</v>
      </c>
      <c r="W815" t="s">
        <v>461</v>
      </c>
      <c r="X815" t="s">
        <v>462</v>
      </c>
      <c r="Y815" t="s">
        <v>10996</v>
      </c>
      <c r="Z815" t="s">
        <v>10997</v>
      </c>
      <c r="AA815" t="s">
        <v>74</v>
      </c>
      <c r="AB815" t="s">
        <v>74</v>
      </c>
      <c r="AC815" t="s">
        <v>74</v>
      </c>
      <c r="AD815" t="s">
        <v>74</v>
      </c>
      <c r="AE815" t="s">
        <v>74</v>
      </c>
      <c r="AF815" t="s">
        <v>74</v>
      </c>
      <c r="AG815">
        <v>31</v>
      </c>
      <c r="AH815">
        <v>189</v>
      </c>
      <c r="AI815">
        <v>217</v>
      </c>
      <c r="AJ815">
        <v>0</v>
      </c>
      <c r="AK815">
        <v>60</v>
      </c>
      <c r="AL815" t="s">
        <v>2054</v>
      </c>
      <c r="AM815" t="s">
        <v>683</v>
      </c>
      <c r="AN815" t="s">
        <v>2055</v>
      </c>
      <c r="AO815" t="s">
        <v>2056</v>
      </c>
      <c r="AP815" t="s">
        <v>74</v>
      </c>
      <c r="AQ815" t="s">
        <v>74</v>
      </c>
      <c r="AR815" t="s">
        <v>2058</v>
      </c>
      <c r="AS815" t="s">
        <v>2059</v>
      </c>
      <c r="AT815" t="s">
        <v>10987</v>
      </c>
      <c r="AU815">
        <v>2001</v>
      </c>
      <c r="AV815">
        <v>268</v>
      </c>
      <c r="AW815">
        <v>1465</v>
      </c>
      <c r="AX815" t="s">
        <v>74</v>
      </c>
      <c r="AY815" t="s">
        <v>74</v>
      </c>
      <c r="AZ815" t="s">
        <v>74</v>
      </c>
      <c r="BA815" t="s">
        <v>74</v>
      </c>
      <c r="BB815">
        <v>377</v>
      </c>
      <c r="BC815">
        <v>384</v>
      </c>
      <c r="BD815" t="s">
        <v>74</v>
      </c>
      <c r="BE815" t="s">
        <v>10998</v>
      </c>
      <c r="BF815" t="str">
        <f>HYPERLINK("http://dx.doi.org/10.1098/rspb.2000.1371","http://dx.doi.org/10.1098/rspb.2000.1371")</f>
        <v>http://dx.doi.org/10.1098/rspb.2000.1371</v>
      </c>
      <c r="BG815" t="s">
        <v>74</v>
      </c>
      <c r="BH815" t="s">
        <v>74</v>
      </c>
      <c r="BI815">
        <v>8</v>
      </c>
      <c r="BJ815" t="s">
        <v>2062</v>
      </c>
      <c r="BK815" t="s">
        <v>88</v>
      </c>
      <c r="BL815" t="s">
        <v>2063</v>
      </c>
      <c r="BM815" t="s">
        <v>10999</v>
      </c>
      <c r="BN815">
        <v>11270434</v>
      </c>
      <c r="BO815" t="s">
        <v>761</v>
      </c>
      <c r="BP815" t="s">
        <v>74</v>
      </c>
      <c r="BQ815" t="s">
        <v>74</v>
      </c>
      <c r="BR815" t="s">
        <v>91</v>
      </c>
      <c r="BS815" t="s">
        <v>11000</v>
      </c>
      <c r="BT815" t="str">
        <f>HYPERLINK("https%3A%2F%2Fwww.webofscience.com%2Fwos%2Fwoscc%2Ffull-record%2FWOS:000167214000007","View Full Record in Web of Science")</f>
        <v>View Full Record in Web of Science</v>
      </c>
    </row>
    <row r="816" spans="1:72" x14ac:dyDescent="0.15">
      <c r="A816" t="s">
        <v>72</v>
      </c>
      <c r="B816" t="s">
        <v>11001</v>
      </c>
      <c r="C816" t="s">
        <v>74</v>
      </c>
      <c r="D816" t="s">
        <v>74</v>
      </c>
      <c r="E816" t="s">
        <v>74</v>
      </c>
      <c r="F816" t="s">
        <v>11001</v>
      </c>
      <c r="G816" t="s">
        <v>74</v>
      </c>
      <c r="H816" t="s">
        <v>74</v>
      </c>
      <c r="I816" t="s">
        <v>11002</v>
      </c>
      <c r="J816" t="s">
        <v>522</v>
      </c>
      <c r="K816" t="s">
        <v>74</v>
      </c>
      <c r="L816" t="s">
        <v>74</v>
      </c>
      <c r="M816" t="s">
        <v>77</v>
      </c>
      <c r="N816" t="s">
        <v>120</v>
      </c>
      <c r="O816" t="s">
        <v>74</v>
      </c>
      <c r="P816" t="s">
        <v>74</v>
      </c>
      <c r="Q816" t="s">
        <v>74</v>
      </c>
      <c r="R816" t="s">
        <v>74</v>
      </c>
      <c r="S816" t="s">
        <v>74</v>
      </c>
      <c r="T816" t="s">
        <v>74</v>
      </c>
      <c r="U816" t="s">
        <v>11003</v>
      </c>
      <c r="V816" t="s">
        <v>11004</v>
      </c>
      <c r="W816" t="s">
        <v>11005</v>
      </c>
      <c r="X816" t="s">
        <v>11006</v>
      </c>
      <c r="Y816" t="s">
        <v>11007</v>
      </c>
      <c r="Z816" t="s">
        <v>74</v>
      </c>
      <c r="AA816" t="s">
        <v>11008</v>
      </c>
      <c r="AB816" t="s">
        <v>11009</v>
      </c>
      <c r="AC816" t="s">
        <v>74</v>
      </c>
      <c r="AD816" t="s">
        <v>74</v>
      </c>
      <c r="AE816" t="s">
        <v>74</v>
      </c>
      <c r="AF816" t="s">
        <v>74</v>
      </c>
      <c r="AG816">
        <v>36</v>
      </c>
      <c r="AH816">
        <v>13</v>
      </c>
      <c r="AI816">
        <v>13</v>
      </c>
      <c r="AJ816">
        <v>0</v>
      </c>
      <c r="AK816">
        <v>2</v>
      </c>
      <c r="AL816" t="s">
        <v>149</v>
      </c>
      <c r="AM816" t="s">
        <v>150</v>
      </c>
      <c r="AN816" t="s">
        <v>151</v>
      </c>
      <c r="AO816" t="s">
        <v>4366</v>
      </c>
      <c r="AP816" t="s">
        <v>74</v>
      </c>
      <c r="AQ816" t="s">
        <v>74</v>
      </c>
      <c r="AR816" t="s">
        <v>533</v>
      </c>
      <c r="AS816" t="s">
        <v>534</v>
      </c>
      <c r="AT816" t="s">
        <v>11010</v>
      </c>
      <c r="AU816">
        <v>2001</v>
      </c>
      <c r="AV816">
        <v>106</v>
      </c>
      <c r="AW816" t="s">
        <v>11011</v>
      </c>
      <c r="AX816" t="s">
        <v>74</v>
      </c>
      <c r="AY816" t="s">
        <v>74</v>
      </c>
      <c r="AZ816" t="s">
        <v>74</v>
      </c>
      <c r="BA816" t="s">
        <v>74</v>
      </c>
      <c r="BB816">
        <v>3195</v>
      </c>
      <c r="BC816">
        <v>3201</v>
      </c>
      <c r="BD816" t="s">
        <v>74</v>
      </c>
      <c r="BE816" t="s">
        <v>11012</v>
      </c>
      <c r="BF816" t="str">
        <f>HYPERLINK("http://dx.doi.org/10.1029/2000JD900606","http://dx.doi.org/10.1029/2000JD900606")</f>
        <v>http://dx.doi.org/10.1029/2000JD900606</v>
      </c>
      <c r="BG816" t="s">
        <v>74</v>
      </c>
      <c r="BH816" t="s">
        <v>74</v>
      </c>
      <c r="BI816">
        <v>7</v>
      </c>
      <c r="BJ816" t="s">
        <v>538</v>
      </c>
      <c r="BK816" t="s">
        <v>88</v>
      </c>
      <c r="BL816" t="s">
        <v>538</v>
      </c>
      <c r="BM816" t="s">
        <v>11013</v>
      </c>
      <c r="BN816" t="s">
        <v>74</v>
      </c>
      <c r="BO816" t="s">
        <v>171</v>
      </c>
      <c r="BP816" t="s">
        <v>74</v>
      </c>
      <c r="BQ816" t="s">
        <v>74</v>
      </c>
      <c r="BR816" t="s">
        <v>91</v>
      </c>
      <c r="BS816" t="s">
        <v>11014</v>
      </c>
      <c r="BT816" t="str">
        <f>HYPERLINK("https%3A%2F%2Fwww.webofscience.com%2Fwos%2Fwoscc%2Ffull-record%2FWOS:000166945200025","View Full Record in Web of Science")</f>
        <v>View Full Record in Web of Science</v>
      </c>
    </row>
    <row r="817" spans="1:72" x14ac:dyDescent="0.15">
      <c r="A817" t="s">
        <v>72</v>
      </c>
      <c r="B817" t="s">
        <v>11015</v>
      </c>
      <c r="C817" t="s">
        <v>74</v>
      </c>
      <c r="D817" t="s">
        <v>74</v>
      </c>
      <c r="E817" t="s">
        <v>74</v>
      </c>
      <c r="F817" t="s">
        <v>11015</v>
      </c>
      <c r="G817" t="s">
        <v>74</v>
      </c>
      <c r="H817" t="s">
        <v>74</v>
      </c>
      <c r="I817" t="s">
        <v>11016</v>
      </c>
      <c r="J817" t="s">
        <v>522</v>
      </c>
      <c r="K817" t="s">
        <v>74</v>
      </c>
      <c r="L817" t="s">
        <v>74</v>
      </c>
      <c r="M817" t="s">
        <v>77</v>
      </c>
      <c r="N817" t="s">
        <v>120</v>
      </c>
      <c r="O817" t="s">
        <v>74</v>
      </c>
      <c r="P817" t="s">
        <v>74</v>
      </c>
      <c r="Q817" t="s">
        <v>74</v>
      </c>
      <c r="R817" t="s">
        <v>74</v>
      </c>
      <c r="S817" t="s">
        <v>74</v>
      </c>
      <c r="T817" t="s">
        <v>74</v>
      </c>
      <c r="U817" t="s">
        <v>11017</v>
      </c>
      <c r="V817" t="s">
        <v>11018</v>
      </c>
      <c r="W817" t="s">
        <v>11019</v>
      </c>
      <c r="X817" t="s">
        <v>11020</v>
      </c>
      <c r="Y817" t="s">
        <v>11021</v>
      </c>
      <c r="Z817" t="s">
        <v>74</v>
      </c>
      <c r="AA817" t="s">
        <v>11022</v>
      </c>
      <c r="AB817" t="s">
        <v>11023</v>
      </c>
      <c r="AC817" t="s">
        <v>74</v>
      </c>
      <c r="AD817" t="s">
        <v>74</v>
      </c>
      <c r="AE817" t="s">
        <v>74</v>
      </c>
      <c r="AF817" t="s">
        <v>74</v>
      </c>
      <c r="AG817">
        <v>36</v>
      </c>
      <c r="AH817">
        <v>65</v>
      </c>
      <c r="AI817">
        <v>65</v>
      </c>
      <c r="AJ817">
        <v>0</v>
      </c>
      <c r="AK817">
        <v>6</v>
      </c>
      <c r="AL817" t="s">
        <v>149</v>
      </c>
      <c r="AM817" t="s">
        <v>150</v>
      </c>
      <c r="AN817" t="s">
        <v>151</v>
      </c>
      <c r="AO817" t="s">
        <v>4366</v>
      </c>
      <c r="AP817" t="s">
        <v>74</v>
      </c>
      <c r="AQ817" t="s">
        <v>74</v>
      </c>
      <c r="AR817" t="s">
        <v>533</v>
      </c>
      <c r="AS817" t="s">
        <v>534</v>
      </c>
      <c r="AT817" t="s">
        <v>11010</v>
      </c>
      <c r="AU817">
        <v>2001</v>
      </c>
      <c r="AV817">
        <v>106</v>
      </c>
      <c r="AW817" t="s">
        <v>11011</v>
      </c>
      <c r="AX817" t="s">
        <v>74</v>
      </c>
      <c r="AY817" t="s">
        <v>74</v>
      </c>
      <c r="AZ817" t="s">
        <v>74</v>
      </c>
      <c r="BA817" t="s">
        <v>74</v>
      </c>
      <c r="BB817">
        <v>3203</v>
      </c>
      <c r="BC817">
        <v>3211</v>
      </c>
      <c r="BD817" t="s">
        <v>74</v>
      </c>
      <c r="BE817" t="s">
        <v>11024</v>
      </c>
      <c r="BF817" t="str">
        <f>HYPERLINK("http://dx.doi.org/10.1029/2000JD900398","http://dx.doi.org/10.1029/2000JD900398")</f>
        <v>http://dx.doi.org/10.1029/2000JD900398</v>
      </c>
      <c r="BG817" t="s">
        <v>74</v>
      </c>
      <c r="BH817" t="s">
        <v>74</v>
      </c>
      <c r="BI817">
        <v>9</v>
      </c>
      <c r="BJ817" t="s">
        <v>538</v>
      </c>
      <c r="BK817" t="s">
        <v>88</v>
      </c>
      <c r="BL817" t="s">
        <v>538</v>
      </c>
      <c r="BM817" t="s">
        <v>11013</v>
      </c>
      <c r="BN817" t="s">
        <v>74</v>
      </c>
      <c r="BO817" t="s">
        <v>761</v>
      </c>
      <c r="BP817" t="s">
        <v>74</v>
      </c>
      <c r="BQ817" t="s">
        <v>74</v>
      </c>
      <c r="BR817" t="s">
        <v>91</v>
      </c>
      <c r="BS817" t="s">
        <v>11025</v>
      </c>
      <c r="BT817" t="str">
        <f>HYPERLINK("https%3A%2F%2Fwww.webofscience.com%2Fwos%2Fwoscc%2Ffull-record%2FWOS:000166945200026","View Full Record in Web of Science")</f>
        <v>View Full Record in Web of Science</v>
      </c>
    </row>
    <row r="818" spans="1:72" x14ac:dyDescent="0.15">
      <c r="A818" t="s">
        <v>72</v>
      </c>
      <c r="B818" t="s">
        <v>11026</v>
      </c>
      <c r="C818" t="s">
        <v>74</v>
      </c>
      <c r="D818" t="s">
        <v>74</v>
      </c>
      <c r="E818" t="s">
        <v>74</v>
      </c>
      <c r="F818" t="s">
        <v>11026</v>
      </c>
      <c r="G818" t="s">
        <v>74</v>
      </c>
      <c r="H818" t="s">
        <v>74</v>
      </c>
      <c r="I818" t="s">
        <v>11027</v>
      </c>
      <c r="J818" t="s">
        <v>1867</v>
      </c>
      <c r="K818" t="s">
        <v>74</v>
      </c>
      <c r="L818" t="s">
        <v>74</v>
      </c>
      <c r="M818" t="s">
        <v>77</v>
      </c>
      <c r="N818" t="s">
        <v>120</v>
      </c>
      <c r="O818" t="s">
        <v>74</v>
      </c>
      <c r="P818" t="s">
        <v>74</v>
      </c>
      <c r="Q818" t="s">
        <v>74</v>
      </c>
      <c r="R818" t="s">
        <v>74</v>
      </c>
      <c r="S818" t="s">
        <v>74</v>
      </c>
      <c r="T818" t="s">
        <v>74</v>
      </c>
      <c r="U818" t="s">
        <v>11028</v>
      </c>
      <c r="V818" t="s">
        <v>11029</v>
      </c>
      <c r="W818" t="s">
        <v>11030</v>
      </c>
      <c r="X818" t="s">
        <v>11031</v>
      </c>
      <c r="Y818" t="s">
        <v>11032</v>
      </c>
      <c r="Z818" t="s">
        <v>74</v>
      </c>
      <c r="AA818" t="s">
        <v>11033</v>
      </c>
      <c r="AB818" t="s">
        <v>74</v>
      </c>
      <c r="AC818" t="s">
        <v>74</v>
      </c>
      <c r="AD818" t="s">
        <v>74</v>
      </c>
      <c r="AE818" t="s">
        <v>74</v>
      </c>
      <c r="AF818" t="s">
        <v>74</v>
      </c>
      <c r="AG818">
        <v>22</v>
      </c>
      <c r="AH818">
        <v>108</v>
      </c>
      <c r="AI818">
        <v>123</v>
      </c>
      <c r="AJ818">
        <v>0</v>
      </c>
      <c r="AK818">
        <v>6</v>
      </c>
      <c r="AL818" t="s">
        <v>1872</v>
      </c>
      <c r="AM818" t="s">
        <v>150</v>
      </c>
      <c r="AN818" t="s">
        <v>1873</v>
      </c>
      <c r="AO818" t="s">
        <v>1874</v>
      </c>
      <c r="AP818" t="s">
        <v>74</v>
      </c>
      <c r="AQ818" t="s">
        <v>74</v>
      </c>
      <c r="AR818" t="s">
        <v>1867</v>
      </c>
      <c r="AS818" t="s">
        <v>1875</v>
      </c>
      <c r="AT818" t="s">
        <v>11010</v>
      </c>
      <c r="AU818">
        <v>2001</v>
      </c>
      <c r="AV818">
        <v>291</v>
      </c>
      <c r="AW818">
        <v>5507</v>
      </c>
      <c r="AX818" t="s">
        <v>74</v>
      </c>
      <c r="AY818" t="s">
        <v>74</v>
      </c>
      <c r="AZ818" t="s">
        <v>74</v>
      </c>
      <c r="BA818" t="s">
        <v>74</v>
      </c>
      <c r="BB818">
        <v>1293</v>
      </c>
      <c r="BC818" t="s">
        <v>607</v>
      </c>
      <c r="BD818" t="s">
        <v>74</v>
      </c>
      <c r="BE818" t="s">
        <v>11034</v>
      </c>
      <c r="BF818" t="str">
        <f>HYPERLINK("http://dx.doi.org/10.1126/science.1057284","http://dx.doi.org/10.1126/science.1057284")</f>
        <v>http://dx.doi.org/10.1126/science.1057284</v>
      </c>
      <c r="BG818" t="s">
        <v>74</v>
      </c>
      <c r="BH818" t="s">
        <v>74</v>
      </c>
      <c r="BI818">
        <v>6</v>
      </c>
      <c r="BJ818" t="s">
        <v>575</v>
      </c>
      <c r="BK818" t="s">
        <v>88</v>
      </c>
      <c r="BL818" t="s">
        <v>576</v>
      </c>
      <c r="BM818" t="s">
        <v>11035</v>
      </c>
      <c r="BN818">
        <v>11181993</v>
      </c>
      <c r="BO818" t="s">
        <v>74</v>
      </c>
      <c r="BP818" t="s">
        <v>74</v>
      </c>
      <c r="BQ818" t="s">
        <v>74</v>
      </c>
      <c r="BR818" t="s">
        <v>91</v>
      </c>
      <c r="BS818" t="s">
        <v>11036</v>
      </c>
      <c r="BT818" t="str">
        <f>HYPERLINK("https%3A%2F%2Fwww.webofscience.com%2Fwos%2Fwoscc%2Ffull-record%2FWOS:000166993400039","View Full Record in Web of Science")</f>
        <v>View Full Record in Web of Science</v>
      </c>
    </row>
    <row r="819" spans="1:72" x14ac:dyDescent="0.15">
      <c r="A819" t="s">
        <v>72</v>
      </c>
      <c r="B819" t="s">
        <v>11037</v>
      </c>
      <c r="C819" t="s">
        <v>74</v>
      </c>
      <c r="D819" t="s">
        <v>74</v>
      </c>
      <c r="E819" t="s">
        <v>74</v>
      </c>
      <c r="F819" t="s">
        <v>11037</v>
      </c>
      <c r="G819" t="s">
        <v>74</v>
      </c>
      <c r="H819" t="s">
        <v>74</v>
      </c>
      <c r="I819" t="s">
        <v>11038</v>
      </c>
      <c r="J819" t="s">
        <v>613</v>
      </c>
      <c r="K819" t="s">
        <v>74</v>
      </c>
      <c r="L819" t="s">
        <v>74</v>
      </c>
      <c r="M819" t="s">
        <v>77</v>
      </c>
      <c r="N819" t="s">
        <v>120</v>
      </c>
      <c r="O819" t="s">
        <v>74</v>
      </c>
      <c r="P819" t="s">
        <v>74</v>
      </c>
      <c r="Q819" t="s">
        <v>74</v>
      </c>
      <c r="R819" t="s">
        <v>74</v>
      </c>
      <c r="S819" t="s">
        <v>74</v>
      </c>
      <c r="T819" t="s">
        <v>74</v>
      </c>
      <c r="U819" t="s">
        <v>11039</v>
      </c>
      <c r="V819" t="s">
        <v>11040</v>
      </c>
      <c r="W819" t="s">
        <v>11041</v>
      </c>
      <c r="X819" t="s">
        <v>3704</v>
      </c>
      <c r="Y819" t="s">
        <v>11042</v>
      </c>
      <c r="Z819" t="s">
        <v>11043</v>
      </c>
      <c r="AA819" t="s">
        <v>11044</v>
      </c>
      <c r="AB819" t="s">
        <v>11045</v>
      </c>
      <c r="AC819" t="s">
        <v>74</v>
      </c>
      <c r="AD819" t="s">
        <v>74</v>
      </c>
      <c r="AE819" t="s">
        <v>74</v>
      </c>
      <c r="AF819" t="s">
        <v>74</v>
      </c>
      <c r="AG819">
        <v>18</v>
      </c>
      <c r="AH819">
        <v>14</v>
      </c>
      <c r="AI819">
        <v>19</v>
      </c>
      <c r="AJ819">
        <v>0</v>
      </c>
      <c r="AK819">
        <v>7</v>
      </c>
      <c r="AL819" t="s">
        <v>149</v>
      </c>
      <c r="AM819" t="s">
        <v>150</v>
      </c>
      <c r="AN819" t="s">
        <v>151</v>
      </c>
      <c r="AO819" t="s">
        <v>619</v>
      </c>
      <c r="AP819" t="s">
        <v>1094</v>
      </c>
      <c r="AQ819" t="s">
        <v>74</v>
      </c>
      <c r="AR819" t="s">
        <v>620</v>
      </c>
      <c r="AS819" t="s">
        <v>621</v>
      </c>
      <c r="AT819" t="s">
        <v>11046</v>
      </c>
      <c r="AU819">
        <v>2001</v>
      </c>
      <c r="AV819">
        <v>28</v>
      </c>
      <c r="AW819">
        <v>4</v>
      </c>
      <c r="AX819" t="s">
        <v>74</v>
      </c>
      <c r="AY819" t="s">
        <v>74</v>
      </c>
      <c r="AZ819" t="s">
        <v>74</v>
      </c>
      <c r="BA819" t="s">
        <v>74</v>
      </c>
      <c r="BB819">
        <v>587</v>
      </c>
      <c r="BC819">
        <v>590</v>
      </c>
      <c r="BD819" t="s">
        <v>74</v>
      </c>
      <c r="BE819" t="s">
        <v>11047</v>
      </c>
      <c r="BF819" t="str">
        <f>HYPERLINK("http://dx.doi.org/10.1029/2000GL011366","http://dx.doi.org/10.1029/2000GL011366")</f>
        <v>http://dx.doi.org/10.1029/2000GL011366</v>
      </c>
      <c r="BG819" t="s">
        <v>74</v>
      </c>
      <c r="BH819" t="s">
        <v>74</v>
      </c>
      <c r="BI819">
        <v>4</v>
      </c>
      <c r="BJ819" t="s">
        <v>300</v>
      </c>
      <c r="BK819" t="s">
        <v>88</v>
      </c>
      <c r="BL819" t="s">
        <v>113</v>
      </c>
      <c r="BM819" t="s">
        <v>11048</v>
      </c>
      <c r="BN819" t="s">
        <v>74</v>
      </c>
      <c r="BO819" t="s">
        <v>74</v>
      </c>
      <c r="BP819" t="s">
        <v>74</v>
      </c>
      <c r="BQ819" t="s">
        <v>74</v>
      </c>
      <c r="BR819" t="s">
        <v>91</v>
      </c>
      <c r="BS819" t="s">
        <v>11049</v>
      </c>
      <c r="BT819" t="str">
        <f>HYPERLINK("https%3A%2F%2Fwww.webofscience.com%2Fwos%2Fwoscc%2Ffull-record%2FWOS:000166916500008","View Full Record in Web of Science")</f>
        <v>View Full Record in Web of Science</v>
      </c>
    </row>
    <row r="820" spans="1:72" x14ac:dyDescent="0.15">
      <c r="A820" t="s">
        <v>72</v>
      </c>
      <c r="B820" t="s">
        <v>11050</v>
      </c>
      <c r="C820" t="s">
        <v>74</v>
      </c>
      <c r="D820" t="s">
        <v>74</v>
      </c>
      <c r="E820" t="s">
        <v>74</v>
      </c>
      <c r="F820" t="s">
        <v>11050</v>
      </c>
      <c r="G820" t="s">
        <v>74</v>
      </c>
      <c r="H820" t="s">
        <v>74</v>
      </c>
      <c r="I820" t="s">
        <v>11051</v>
      </c>
      <c r="J820" t="s">
        <v>613</v>
      </c>
      <c r="K820" t="s">
        <v>74</v>
      </c>
      <c r="L820" t="s">
        <v>74</v>
      </c>
      <c r="M820" t="s">
        <v>77</v>
      </c>
      <c r="N820" t="s">
        <v>120</v>
      </c>
      <c r="O820" t="s">
        <v>74</v>
      </c>
      <c r="P820" t="s">
        <v>74</v>
      </c>
      <c r="Q820" t="s">
        <v>74</v>
      </c>
      <c r="R820" t="s">
        <v>74</v>
      </c>
      <c r="S820" t="s">
        <v>74</v>
      </c>
      <c r="T820" t="s">
        <v>74</v>
      </c>
      <c r="U820" t="s">
        <v>11052</v>
      </c>
      <c r="V820" t="s">
        <v>11053</v>
      </c>
      <c r="W820" t="s">
        <v>11054</v>
      </c>
      <c r="X820" t="s">
        <v>11055</v>
      </c>
      <c r="Y820" t="s">
        <v>11056</v>
      </c>
      <c r="Z820" t="s">
        <v>74</v>
      </c>
      <c r="AA820" t="s">
        <v>74</v>
      </c>
      <c r="AB820" t="s">
        <v>74</v>
      </c>
      <c r="AC820" t="s">
        <v>74</v>
      </c>
      <c r="AD820" t="s">
        <v>74</v>
      </c>
      <c r="AE820" t="s">
        <v>74</v>
      </c>
      <c r="AF820" t="s">
        <v>74</v>
      </c>
      <c r="AG820">
        <v>28</v>
      </c>
      <c r="AH820">
        <v>32</v>
      </c>
      <c r="AI820">
        <v>35</v>
      </c>
      <c r="AJ820">
        <v>0</v>
      </c>
      <c r="AK820">
        <v>13</v>
      </c>
      <c r="AL820" t="s">
        <v>149</v>
      </c>
      <c r="AM820" t="s">
        <v>150</v>
      </c>
      <c r="AN820" t="s">
        <v>151</v>
      </c>
      <c r="AO820" t="s">
        <v>619</v>
      </c>
      <c r="AP820" t="s">
        <v>74</v>
      </c>
      <c r="AQ820" t="s">
        <v>74</v>
      </c>
      <c r="AR820" t="s">
        <v>620</v>
      </c>
      <c r="AS820" t="s">
        <v>621</v>
      </c>
      <c r="AT820" t="s">
        <v>11046</v>
      </c>
      <c r="AU820">
        <v>2001</v>
      </c>
      <c r="AV820">
        <v>28</v>
      </c>
      <c r="AW820">
        <v>4</v>
      </c>
      <c r="AX820" t="s">
        <v>74</v>
      </c>
      <c r="AY820" t="s">
        <v>74</v>
      </c>
      <c r="AZ820" t="s">
        <v>74</v>
      </c>
      <c r="BA820" t="s">
        <v>74</v>
      </c>
      <c r="BB820">
        <v>591</v>
      </c>
      <c r="BC820">
        <v>594</v>
      </c>
      <c r="BD820" t="s">
        <v>74</v>
      </c>
      <c r="BE820" t="s">
        <v>11057</v>
      </c>
      <c r="BF820" t="str">
        <f>HYPERLINK("http://dx.doi.org/10.1029/1999GL006094","http://dx.doi.org/10.1029/1999GL006094")</f>
        <v>http://dx.doi.org/10.1029/1999GL006094</v>
      </c>
      <c r="BG820" t="s">
        <v>74</v>
      </c>
      <c r="BH820" t="s">
        <v>74</v>
      </c>
      <c r="BI820">
        <v>4</v>
      </c>
      <c r="BJ820" t="s">
        <v>300</v>
      </c>
      <c r="BK820" t="s">
        <v>88</v>
      </c>
      <c r="BL820" t="s">
        <v>113</v>
      </c>
      <c r="BM820" t="s">
        <v>11048</v>
      </c>
      <c r="BN820" t="s">
        <v>74</v>
      </c>
      <c r="BO820" t="s">
        <v>171</v>
      </c>
      <c r="BP820" t="s">
        <v>74</v>
      </c>
      <c r="BQ820" t="s">
        <v>74</v>
      </c>
      <c r="BR820" t="s">
        <v>91</v>
      </c>
      <c r="BS820" t="s">
        <v>11058</v>
      </c>
      <c r="BT820" t="str">
        <f>HYPERLINK("https%3A%2F%2Fwww.webofscience.com%2Fwos%2Fwoscc%2Ffull-record%2FWOS:000166916500009","View Full Record in Web of Science")</f>
        <v>View Full Record in Web of Science</v>
      </c>
    </row>
    <row r="821" spans="1:72" x14ac:dyDescent="0.15">
      <c r="A821" t="s">
        <v>72</v>
      </c>
      <c r="B821" t="s">
        <v>11059</v>
      </c>
      <c r="C821" t="s">
        <v>74</v>
      </c>
      <c r="D821" t="s">
        <v>74</v>
      </c>
      <c r="E821" t="s">
        <v>74</v>
      </c>
      <c r="F821" t="s">
        <v>11059</v>
      </c>
      <c r="G821" t="s">
        <v>74</v>
      </c>
      <c r="H821" t="s">
        <v>74</v>
      </c>
      <c r="I821" t="s">
        <v>11060</v>
      </c>
      <c r="J821" t="s">
        <v>655</v>
      </c>
      <c r="K821" t="s">
        <v>74</v>
      </c>
      <c r="L821" t="s">
        <v>74</v>
      </c>
      <c r="M821" t="s">
        <v>77</v>
      </c>
      <c r="N821" t="s">
        <v>120</v>
      </c>
      <c r="O821" t="s">
        <v>74</v>
      </c>
      <c r="P821" t="s">
        <v>74</v>
      </c>
      <c r="Q821" t="s">
        <v>74</v>
      </c>
      <c r="R821" t="s">
        <v>74</v>
      </c>
      <c r="S821" t="s">
        <v>74</v>
      </c>
      <c r="T821" t="s">
        <v>74</v>
      </c>
      <c r="U821" t="s">
        <v>11061</v>
      </c>
      <c r="V821" t="s">
        <v>11062</v>
      </c>
      <c r="W821" t="s">
        <v>11063</v>
      </c>
      <c r="X821" t="s">
        <v>617</v>
      </c>
      <c r="Y821" t="s">
        <v>11064</v>
      </c>
      <c r="Z821" t="s">
        <v>11065</v>
      </c>
      <c r="AA821" t="s">
        <v>11066</v>
      </c>
      <c r="AB821" t="s">
        <v>11067</v>
      </c>
      <c r="AC821" t="s">
        <v>74</v>
      </c>
      <c r="AD821" t="s">
        <v>74</v>
      </c>
      <c r="AE821" t="s">
        <v>74</v>
      </c>
      <c r="AF821" t="s">
        <v>74</v>
      </c>
      <c r="AG821">
        <v>38</v>
      </c>
      <c r="AH821">
        <v>49</v>
      </c>
      <c r="AI821">
        <v>51</v>
      </c>
      <c r="AJ821">
        <v>0</v>
      </c>
      <c r="AK821">
        <v>5</v>
      </c>
      <c r="AL821" t="s">
        <v>149</v>
      </c>
      <c r="AM821" t="s">
        <v>150</v>
      </c>
      <c r="AN821" t="s">
        <v>151</v>
      </c>
      <c r="AO821" t="s">
        <v>662</v>
      </c>
      <c r="AP821" t="s">
        <v>663</v>
      </c>
      <c r="AQ821" t="s">
        <v>74</v>
      </c>
      <c r="AR821" t="s">
        <v>664</v>
      </c>
      <c r="AS821" t="s">
        <v>665</v>
      </c>
      <c r="AT821" t="s">
        <v>11046</v>
      </c>
      <c r="AU821">
        <v>2001</v>
      </c>
      <c r="AV821">
        <v>106</v>
      </c>
      <c r="AW821" t="s">
        <v>11068</v>
      </c>
      <c r="AX821" t="s">
        <v>74</v>
      </c>
      <c r="AY821" t="s">
        <v>74</v>
      </c>
      <c r="AZ821" t="s">
        <v>74</v>
      </c>
      <c r="BA821" t="s">
        <v>74</v>
      </c>
      <c r="BB821">
        <v>2423</v>
      </c>
      <c r="BC821">
        <v>2440</v>
      </c>
      <c r="BD821" t="s">
        <v>74</v>
      </c>
      <c r="BE821" t="s">
        <v>11069</v>
      </c>
      <c r="BF821" t="str">
        <f>HYPERLINK("http://dx.doi.org/10.1029/2000JC000531","http://dx.doi.org/10.1029/2000JC000531")</f>
        <v>http://dx.doi.org/10.1029/2000JC000531</v>
      </c>
      <c r="BG821" t="s">
        <v>74</v>
      </c>
      <c r="BH821" t="s">
        <v>74</v>
      </c>
      <c r="BI821">
        <v>18</v>
      </c>
      <c r="BJ821" t="s">
        <v>668</v>
      </c>
      <c r="BK821" t="s">
        <v>88</v>
      </c>
      <c r="BL821" t="s">
        <v>668</v>
      </c>
      <c r="BM821" t="s">
        <v>11070</v>
      </c>
      <c r="BN821" t="s">
        <v>74</v>
      </c>
      <c r="BO821" t="s">
        <v>171</v>
      </c>
      <c r="BP821" t="s">
        <v>74</v>
      </c>
      <c r="BQ821" t="s">
        <v>74</v>
      </c>
      <c r="BR821" t="s">
        <v>91</v>
      </c>
      <c r="BS821" t="s">
        <v>11071</v>
      </c>
      <c r="BT821" t="str">
        <f>HYPERLINK("https%3A%2F%2Fwww.webofscience.com%2Fwos%2Fwoscc%2Ffull-record%2FWOS:000166904900007","View Full Record in Web of Science")</f>
        <v>View Full Record in Web of Science</v>
      </c>
    </row>
    <row r="822" spans="1:72" x14ac:dyDescent="0.15">
      <c r="A822" t="s">
        <v>72</v>
      </c>
      <c r="B822" t="s">
        <v>11072</v>
      </c>
      <c r="C822" t="s">
        <v>74</v>
      </c>
      <c r="D822" t="s">
        <v>74</v>
      </c>
      <c r="E822" t="s">
        <v>74</v>
      </c>
      <c r="F822" t="s">
        <v>11072</v>
      </c>
      <c r="G822" t="s">
        <v>74</v>
      </c>
      <c r="H822" t="s">
        <v>74</v>
      </c>
      <c r="I822" t="s">
        <v>11073</v>
      </c>
      <c r="J822" t="s">
        <v>655</v>
      </c>
      <c r="K822" t="s">
        <v>74</v>
      </c>
      <c r="L822" t="s">
        <v>74</v>
      </c>
      <c r="M822" t="s">
        <v>77</v>
      </c>
      <c r="N822" t="s">
        <v>120</v>
      </c>
      <c r="O822" t="s">
        <v>74</v>
      </c>
      <c r="P822" t="s">
        <v>74</v>
      </c>
      <c r="Q822" t="s">
        <v>74</v>
      </c>
      <c r="R822" t="s">
        <v>74</v>
      </c>
      <c r="S822" t="s">
        <v>74</v>
      </c>
      <c r="T822" t="s">
        <v>74</v>
      </c>
      <c r="U822" t="s">
        <v>11074</v>
      </c>
      <c r="V822" t="s">
        <v>11075</v>
      </c>
      <c r="W822" t="s">
        <v>11076</v>
      </c>
      <c r="X822" t="s">
        <v>11077</v>
      </c>
      <c r="Y822" t="s">
        <v>11078</v>
      </c>
      <c r="Z822" t="s">
        <v>11079</v>
      </c>
      <c r="AA822" t="s">
        <v>11080</v>
      </c>
      <c r="AB822" t="s">
        <v>11081</v>
      </c>
      <c r="AC822" t="s">
        <v>74</v>
      </c>
      <c r="AD822" t="s">
        <v>74</v>
      </c>
      <c r="AE822" t="s">
        <v>74</v>
      </c>
      <c r="AF822" t="s">
        <v>74</v>
      </c>
      <c r="AG822">
        <v>45</v>
      </c>
      <c r="AH822">
        <v>91</v>
      </c>
      <c r="AI822">
        <v>97</v>
      </c>
      <c r="AJ822">
        <v>0</v>
      </c>
      <c r="AK822">
        <v>7</v>
      </c>
      <c r="AL822" t="s">
        <v>149</v>
      </c>
      <c r="AM822" t="s">
        <v>150</v>
      </c>
      <c r="AN822" t="s">
        <v>151</v>
      </c>
      <c r="AO822" t="s">
        <v>662</v>
      </c>
      <c r="AP822" t="s">
        <v>663</v>
      </c>
      <c r="AQ822" t="s">
        <v>74</v>
      </c>
      <c r="AR822" t="s">
        <v>664</v>
      </c>
      <c r="AS822" t="s">
        <v>665</v>
      </c>
      <c r="AT822" t="s">
        <v>11046</v>
      </c>
      <c r="AU822">
        <v>2001</v>
      </c>
      <c r="AV822">
        <v>106</v>
      </c>
      <c r="AW822" t="s">
        <v>11068</v>
      </c>
      <c r="AX822" t="s">
        <v>74</v>
      </c>
      <c r="AY822" t="s">
        <v>74</v>
      </c>
      <c r="AZ822" t="s">
        <v>74</v>
      </c>
      <c r="BA822" t="s">
        <v>74</v>
      </c>
      <c r="BB822">
        <v>2693</v>
      </c>
      <c r="BC822">
        <v>2712</v>
      </c>
      <c r="BD822" t="s">
        <v>74</v>
      </c>
      <c r="BE822" t="s">
        <v>11082</v>
      </c>
      <c r="BF822" t="str">
        <f>HYPERLINK("http://dx.doi.org/10.1029/2000JC900036","http://dx.doi.org/10.1029/2000JC900036")</f>
        <v>http://dx.doi.org/10.1029/2000JC900036</v>
      </c>
      <c r="BG822" t="s">
        <v>74</v>
      </c>
      <c r="BH822" t="s">
        <v>74</v>
      </c>
      <c r="BI822">
        <v>20</v>
      </c>
      <c r="BJ822" t="s">
        <v>668</v>
      </c>
      <c r="BK822" t="s">
        <v>88</v>
      </c>
      <c r="BL822" t="s">
        <v>668</v>
      </c>
      <c r="BM822" t="s">
        <v>11070</v>
      </c>
      <c r="BN822" t="s">
        <v>74</v>
      </c>
      <c r="BO822" t="s">
        <v>171</v>
      </c>
      <c r="BP822" t="s">
        <v>74</v>
      </c>
      <c r="BQ822" t="s">
        <v>74</v>
      </c>
      <c r="BR822" t="s">
        <v>91</v>
      </c>
      <c r="BS822" t="s">
        <v>11083</v>
      </c>
      <c r="BT822" t="str">
        <f>HYPERLINK("https%3A%2F%2Fwww.webofscience.com%2Fwos%2Fwoscc%2Ffull-record%2FWOS:000166904900026","View Full Record in Web of Science")</f>
        <v>View Full Record in Web of Science</v>
      </c>
    </row>
    <row r="823" spans="1:72" x14ac:dyDescent="0.15">
      <c r="A823" t="s">
        <v>72</v>
      </c>
      <c r="B823" t="s">
        <v>11084</v>
      </c>
      <c r="C823" t="s">
        <v>74</v>
      </c>
      <c r="D823" t="s">
        <v>74</v>
      </c>
      <c r="E823" t="s">
        <v>74</v>
      </c>
      <c r="F823" t="s">
        <v>11084</v>
      </c>
      <c r="G823" t="s">
        <v>74</v>
      </c>
      <c r="H823" t="s">
        <v>74</v>
      </c>
      <c r="I823" t="s">
        <v>11085</v>
      </c>
      <c r="J823" t="s">
        <v>655</v>
      </c>
      <c r="K823" t="s">
        <v>74</v>
      </c>
      <c r="L823" t="s">
        <v>74</v>
      </c>
      <c r="M823" t="s">
        <v>77</v>
      </c>
      <c r="N823" t="s">
        <v>120</v>
      </c>
      <c r="O823" t="s">
        <v>74</v>
      </c>
      <c r="P823" t="s">
        <v>74</v>
      </c>
      <c r="Q823" t="s">
        <v>74</v>
      </c>
      <c r="R823" t="s">
        <v>74</v>
      </c>
      <c r="S823" t="s">
        <v>74</v>
      </c>
      <c r="T823" t="s">
        <v>74</v>
      </c>
      <c r="U823" t="s">
        <v>11086</v>
      </c>
      <c r="V823" t="s">
        <v>11087</v>
      </c>
      <c r="W823" t="s">
        <v>11088</v>
      </c>
      <c r="X823" t="s">
        <v>11089</v>
      </c>
      <c r="Y823" t="s">
        <v>11090</v>
      </c>
      <c r="Z823" t="s">
        <v>11091</v>
      </c>
      <c r="AA823" t="s">
        <v>11092</v>
      </c>
      <c r="AB823" t="s">
        <v>11093</v>
      </c>
      <c r="AC823" t="s">
        <v>74</v>
      </c>
      <c r="AD823" t="s">
        <v>74</v>
      </c>
      <c r="AE823" t="s">
        <v>74</v>
      </c>
      <c r="AF823" t="s">
        <v>74</v>
      </c>
      <c r="AG823">
        <v>24</v>
      </c>
      <c r="AH823">
        <v>80</v>
      </c>
      <c r="AI823">
        <v>86</v>
      </c>
      <c r="AJ823">
        <v>0</v>
      </c>
      <c r="AK823">
        <v>16</v>
      </c>
      <c r="AL823" t="s">
        <v>149</v>
      </c>
      <c r="AM823" t="s">
        <v>150</v>
      </c>
      <c r="AN823" t="s">
        <v>151</v>
      </c>
      <c r="AO823" t="s">
        <v>662</v>
      </c>
      <c r="AP823" t="s">
        <v>663</v>
      </c>
      <c r="AQ823" t="s">
        <v>74</v>
      </c>
      <c r="AR823" t="s">
        <v>664</v>
      </c>
      <c r="AS823" t="s">
        <v>665</v>
      </c>
      <c r="AT823" t="s">
        <v>11046</v>
      </c>
      <c r="AU823">
        <v>2001</v>
      </c>
      <c r="AV823">
        <v>106</v>
      </c>
      <c r="AW823" t="s">
        <v>11068</v>
      </c>
      <c r="AX823" t="s">
        <v>74</v>
      </c>
      <c r="AY823" t="s">
        <v>74</v>
      </c>
      <c r="AZ823" t="s">
        <v>74</v>
      </c>
      <c r="BA823" t="s">
        <v>74</v>
      </c>
      <c r="BB823">
        <v>2713</v>
      </c>
      <c r="BC823">
        <v>2722</v>
      </c>
      <c r="BD823" t="s">
        <v>74</v>
      </c>
      <c r="BE823" t="s">
        <v>11094</v>
      </c>
      <c r="BF823" t="str">
        <f>HYPERLINK("http://dx.doi.org/10.1029/1999JC900332","http://dx.doi.org/10.1029/1999JC900332")</f>
        <v>http://dx.doi.org/10.1029/1999JC900332</v>
      </c>
      <c r="BG823" t="s">
        <v>74</v>
      </c>
      <c r="BH823" t="s">
        <v>74</v>
      </c>
      <c r="BI823">
        <v>10</v>
      </c>
      <c r="BJ823" t="s">
        <v>668</v>
      </c>
      <c r="BK823" t="s">
        <v>88</v>
      </c>
      <c r="BL823" t="s">
        <v>668</v>
      </c>
      <c r="BM823" t="s">
        <v>11070</v>
      </c>
      <c r="BN823" t="s">
        <v>74</v>
      </c>
      <c r="BO823" t="s">
        <v>74</v>
      </c>
      <c r="BP823" t="s">
        <v>74</v>
      </c>
      <c r="BQ823" t="s">
        <v>74</v>
      </c>
      <c r="BR823" t="s">
        <v>91</v>
      </c>
      <c r="BS823" t="s">
        <v>11095</v>
      </c>
      <c r="BT823" t="str">
        <f>HYPERLINK("https%3A%2F%2Fwww.webofscience.com%2Fwos%2Fwoscc%2Ffull-record%2FWOS:000166904900027","View Full Record in Web of Science")</f>
        <v>View Full Record in Web of Science</v>
      </c>
    </row>
    <row r="824" spans="1:72" x14ac:dyDescent="0.15">
      <c r="A824" t="s">
        <v>72</v>
      </c>
      <c r="B824" t="s">
        <v>11096</v>
      </c>
      <c r="C824" t="s">
        <v>74</v>
      </c>
      <c r="D824" t="s">
        <v>74</v>
      </c>
      <c r="E824" t="s">
        <v>74</v>
      </c>
      <c r="F824" t="s">
        <v>11096</v>
      </c>
      <c r="G824" t="s">
        <v>74</v>
      </c>
      <c r="H824" t="s">
        <v>74</v>
      </c>
      <c r="I824" t="s">
        <v>11097</v>
      </c>
      <c r="J824" t="s">
        <v>655</v>
      </c>
      <c r="K824" t="s">
        <v>74</v>
      </c>
      <c r="L824" t="s">
        <v>74</v>
      </c>
      <c r="M824" t="s">
        <v>77</v>
      </c>
      <c r="N824" t="s">
        <v>120</v>
      </c>
      <c r="O824" t="s">
        <v>74</v>
      </c>
      <c r="P824" t="s">
        <v>74</v>
      </c>
      <c r="Q824" t="s">
        <v>74</v>
      </c>
      <c r="R824" t="s">
        <v>74</v>
      </c>
      <c r="S824" t="s">
        <v>74</v>
      </c>
      <c r="T824" t="s">
        <v>74</v>
      </c>
      <c r="U824" t="s">
        <v>11098</v>
      </c>
      <c r="V824" t="s">
        <v>11099</v>
      </c>
      <c r="W824" t="s">
        <v>11100</v>
      </c>
      <c r="X824" t="s">
        <v>419</v>
      </c>
      <c r="Y824" t="s">
        <v>11101</v>
      </c>
      <c r="Z824" t="s">
        <v>11102</v>
      </c>
      <c r="AA824" t="s">
        <v>11103</v>
      </c>
      <c r="AB824" t="s">
        <v>11104</v>
      </c>
      <c r="AC824" t="s">
        <v>74</v>
      </c>
      <c r="AD824" t="s">
        <v>74</v>
      </c>
      <c r="AE824" t="s">
        <v>74</v>
      </c>
      <c r="AF824" t="s">
        <v>74</v>
      </c>
      <c r="AG824">
        <v>75</v>
      </c>
      <c r="AH824">
        <v>65</v>
      </c>
      <c r="AI824">
        <v>68</v>
      </c>
      <c r="AJ824">
        <v>0</v>
      </c>
      <c r="AK824">
        <v>4</v>
      </c>
      <c r="AL824" t="s">
        <v>149</v>
      </c>
      <c r="AM824" t="s">
        <v>150</v>
      </c>
      <c r="AN824" t="s">
        <v>151</v>
      </c>
      <c r="AO824" t="s">
        <v>662</v>
      </c>
      <c r="AP824" t="s">
        <v>663</v>
      </c>
      <c r="AQ824" t="s">
        <v>74</v>
      </c>
      <c r="AR824" t="s">
        <v>664</v>
      </c>
      <c r="AS824" t="s">
        <v>665</v>
      </c>
      <c r="AT824" t="s">
        <v>11046</v>
      </c>
      <c r="AU824">
        <v>2001</v>
      </c>
      <c r="AV824">
        <v>106</v>
      </c>
      <c r="AW824" t="s">
        <v>11068</v>
      </c>
      <c r="AX824" t="s">
        <v>74</v>
      </c>
      <c r="AY824" t="s">
        <v>74</v>
      </c>
      <c r="AZ824" t="s">
        <v>74</v>
      </c>
      <c r="BA824" t="s">
        <v>74</v>
      </c>
      <c r="BB824">
        <v>2723</v>
      </c>
      <c r="BC824">
        <v>2741</v>
      </c>
      <c r="BD824" t="s">
        <v>74</v>
      </c>
      <c r="BE824" t="s">
        <v>11105</v>
      </c>
      <c r="BF824" t="str">
        <f>HYPERLINK("http://dx.doi.org/10.1029/2000JC900086","http://dx.doi.org/10.1029/2000JC900086")</f>
        <v>http://dx.doi.org/10.1029/2000JC900086</v>
      </c>
      <c r="BG824" t="s">
        <v>74</v>
      </c>
      <c r="BH824" t="s">
        <v>74</v>
      </c>
      <c r="BI824">
        <v>19</v>
      </c>
      <c r="BJ824" t="s">
        <v>668</v>
      </c>
      <c r="BK824" t="s">
        <v>88</v>
      </c>
      <c r="BL824" t="s">
        <v>668</v>
      </c>
      <c r="BM824" t="s">
        <v>11070</v>
      </c>
      <c r="BN824" t="s">
        <v>74</v>
      </c>
      <c r="BO824" t="s">
        <v>171</v>
      </c>
      <c r="BP824" t="s">
        <v>74</v>
      </c>
      <c r="BQ824" t="s">
        <v>74</v>
      </c>
      <c r="BR824" t="s">
        <v>91</v>
      </c>
      <c r="BS824" t="s">
        <v>11106</v>
      </c>
      <c r="BT824" t="str">
        <f>HYPERLINK("https%3A%2F%2Fwww.webofscience.com%2Fwos%2Fwoscc%2Ffull-record%2FWOS:000166904900028","View Full Record in Web of Science")</f>
        <v>View Full Record in Web of Science</v>
      </c>
    </row>
    <row r="825" spans="1:72" x14ac:dyDescent="0.15">
      <c r="A825" t="s">
        <v>72</v>
      </c>
      <c r="B825" t="s">
        <v>11107</v>
      </c>
      <c r="C825" t="s">
        <v>74</v>
      </c>
      <c r="D825" t="s">
        <v>74</v>
      </c>
      <c r="E825" t="s">
        <v>74</v>
      </c>
      <c r="F825" t="s">
        <v>11107</v>
      </c>
      <c r="G825" t="s">
        <v>74</v>
      </c>
      <c r="H825" t="s">
        <v>74</v>
      </c>
      <c r="I825" t="s">
        <v>11108</v>
      </c>
      <c r="J825" t="s">
        <v>655</v>
      </c>
      <c r="K825" t="s">
        <v>74</v>
      </c>
      <c r="L825" t="s">
        <v>74</v>
      </c>
      <c r="M825" t="s">
        <v>77</v>
      </c>
      <c r="N825" t="s">
        <v>120</v>
      </c>
      <c r="O825" t="s">
        <v>74</v>
      </c>
      <c r="P825" t="s">
        <v>74</v>
      </c>
      <c r="Q825" t="s">
        <v>74</v>
      </c>
      <c r="R825" t="s">
        <v>74</v>
      </c>
      <c r="S825" t="s">
        <v>74</v>
      </c>
      <c r="T825" t="s">
        <v>74</v>
      </c>
      <c r="U825" t="s">
        <v>11109</v>
      </c>
      <c r="V825" t="s">
        <v>11110</v>
      </c>
      <c r="W825" t="s">
        <v>11111</v>
      </c>
      <c r="X825" t="s">
        <v>11112</v>
      </c>
      <c r="Y825" t="s">
        <v>11113</v>
      </c>
      <c r="Z825" t="s">
        <v>74</v>
      </c>
      <c r="AA825" t="s">
        <v>11114</v>
      </c>
      <c r="AB825" t="s">
        <v>11115</v>
      </c>
      <c r="AC825" t="s">
        <v>74</v>
      </c>
      <c r="AD825" t="s">
        <v>74</v>
      </c>
      <c r="AE825" t="s">
        <v>74</v>
      </c>
      <c r="AF825" t="s">
        <v>74</v>
      </c>
      <c r="AG825">
        <v>56</v>
      </c>
      <c r="AH825">
        <v>36</v>
      </c>
      <c r="AI825">
        <v>43</v>
      </c>
      <c r="AJ825">
        <v>0</v>
      </c>
      <c r="AK825">
        <v>7</v>
      </c>
      <c r="AL825" t="s">
        <v>149</v>
      </c>
      <c r="AM825" t="s">
        <v>150</v>
      </c>
      <c r="AN825" t="s">
        <v>151</v>
      </c>
      <c r="AO825" t="s">
        <v>662</v>
      </c>
      <c r="AP825" t="s">
        <v>663</v>
      </c>
      <c r="AQ825" t="s">
        <v>74</v>
      </c>
      <c r="AR825" t="s">
        <v>664</v>
      </c>
      <c r="AS825" t="s">
        <v>665</v>
      </c>
      <c r="AT825" t="s">
        <v>11046</v>
      </c>
      <c r="AU825">
        <v>2001</v>
      </c>
      <c r="AV825">
        <v>106</v>
      </c>
      <c r="AW825" t="s">
        <v>11068</v>
      </c>
      <c r="AX825" t="s">
        <v>74</v>
      </c>
      <c r="AY825" t="s">
        <v>74</v>
      </c>
      <c r="AZ825" t="s">
        <v>74</v>
      </c>
      <c r="BA825" t="s">
        <v>74</v>
      </c>
      <c r="BB825">
        <v>2743</v>
      </c>
      <c r="BC825">
        <v>2759</v>
      </c>
      <c r="BD825" t="s">
        <v>74</v>
      </c>
      <c r="BE825" t="s">
        <v>11116</v>
      </c>
      <c r="BF825" t="str">
        <f>HYPERLINK("http://dx.doi.org/10.1029/1999JC900333","http://dx.doi.org/10.1029/1999JC900333")</f>
        <v>http://dx.doi.org/10.1029/1999JC900333</v>
      </c>
      <c r="BG825" t="s">
        <v>74</v>
      </c>
      <c r="BH825" t="s">
        <v>74</v>
      </c>
      <c r="BI825">
        <v>17</v>
      </c>
      <c r="BJ825" t="s">
        <v>668</v>
      </c>
      <c r="BK825" t="s">
        <v>88</v>
      </c>
      <c r="BL825" t="s">
        <v>668</v>
      </c>
      <c r="BM825" t="s">
        <v>11070</v>
      </c>
      <c r="BN825" t="s">
        <v>74</v>
      </c>
      <c r="BO825" t="s">
        <v>907</v>
      </c>
      <c r="BP825" t="s">
        <v>74</v>
      </c>
      <c r="BQ825" t="s">
        <v>74</v>
      </c>
      <c r="BR825" t="s">
        <v>91</v>
      </c>
      <c r="BS825" t="s">
        <v>11117</v>
      </c>
      <c r="BT825" t="str">
        <f>HYPERLINK("https%3A%2F%2Fwww.webofscience.com%2Fwos%2Fwoscc%2Ffull-record%2FWOS:000166904900029","View Full Record in Web of Science")</f>
        <v>View Full Record in Web of Science</v>
      </c>
    </row>
    <row r="826" spans="1:72" x14ac:dyDescent="0.15">
      <c r="A826" t="s">
        <v>72</v>
      </c>
      <c r="B826" t="s">
        <v>11118</v>
      </c>
      <c r="C826" t="s">
        <v>74</v>
      </c>
      <c r="D826" t="s">
        <v>74</v>
      </c>
      <c r="E826" t="s">
        <v>74</v>
      </c>
      <c r="F826" t="s">
        <v>11118</v>
      </c>
      <c r="G826" t="s">
        <v>74</v>
      </c>
      <c r="H826" t="s">
        <v>74</v>
      </c>
      <c r="I826" t="s">
        <v>11119</v>
      </c>
      <c r="J826" t="s">
        <v>655</v>
      </c>
      <c r="K826" t="s">
        <v>74</v>
      </c>
      <c r="L826" t="s">
        <v>74</v>
      </c>
      <c r="M826" t="s">
        <v>77</v>
      </c>
      <c r="N826" t="s">
        <v>120</v>
      </c>
      <c r="O826" t="s">
        <v>74</v>
      </c>
      <c r="P826" t="s">
        <v>74</v>
      </c>
      <c r="Q826" t="s">
        <v>74</v>
      </c>
      <c r="R826" t="s">
        <v>74</v>
      </c>
      <c r="S826" t="s">
        <v>74</v>
      </c>
      <c r="T826" t="s">
        <v>74</v>
      </c>
      <c r="U826" t="s">
        <v>11120</v>
      </c>
      <c r="V826" t="s">
        <v>11121</v>
      </c>
      <c r="W826" t="s">
        <v>1678</v>
      </c>
      <c r="X826" t="s">
        <v>1679</v>
      </c>
      <c r="Y826" t="s">
        <v>1680</v>
      </c>
      <c r="Z826" t="s">
        <v>74</v>
      </c>
      <c r="AA826" t="s">
        <v>74</v>
      </c>
      <c r="AB826" t="s">
        <v>74</v>
      </c>
      <c r="AC826" t="s">
        <v>74</v>
      </c>
      <c r="AD826" t="s">
        <v>74</v>
      </c>
      <c r="AE826" t="s">
        <v>74</v>
      </c>
      <c r="AF826" t="s">
        <v>74</v>
      </c>
      <c r="AG826">
        <v>34</v>
      </c>
      <c r="AH826">
        <v>72</v>
      </c>
      <c r="AI826">
        <v>73</v>
      </c>
      <c r="AJ826">
        <v>0</v>
      </c>
      <c r="AK826">
        <v>8</v>
      </c>
      <c r="AL826" t="s">
        <v>149</v>
      </c>
      <c r="AM826" t="s">
        <v>150</v>
      </c>
      <c r="AN826" t="s">
        <v>151</v>
      </c>
      <c r="AO826" t="s">
        <v>662</v>
      </c>
      <c r="AP826" t="s">
        <v>663</v>
      </c>
      <c r="AQ826" t="s">
        <v>74</v>
      </c>
      <c r="AR826" t="s">
        <v>664</v>
      </c>
      <c r="AS826" t="s">
        <v>665</v>
      </c>
      <c r="AT826" t="s">
        <v>11046</v>
      </c>
      <c r="AU826">
        <v>2001</v>
      </c>
      <c r="AV826">
        <v>106</v>
      </c>
      <c r="AW826" t="s">
        <v>11068</v>
      </c>
      <c r="AX826" t="s">
        <v>74</v>
      </c>
      <c r="AY826" t="s">
        <v>74</v>
      </c>
      <c r="AZ826" t="s">
        <v>74</v>
      </c>
      <c r="BA826" t="s">
        <v>74</v>
      </c>
      <c r="BB826">
        <v>2761</v>
      </c>
      <c r="BC826">
        <v>2778</v>
      </c>
      <c r="BD826" t="s">
        <v>74</v>
      </c>
      <c r="BE826" t="s">
        <v>11122</v>
      </c>
      <c r="BF826" t="str">
        <f>HYPERLINK("http://dx.doi.org/10.1029/2000JC900142","http://dx.doi.org/10.1029/2000JC900142")</f>
        <v>http://dx.doi.org/10.1029/2000JC900142</v>
      </c>
      <c r="BG826" t="s">
        <v>74</v>
      </c>
      <c r="BH826" t="s">
        <v>74</v>
      </c>
      <c r="BI826">
        <v>18</v>
      </c>
      <c r="BJ826" t="s">
        <v>668</v>
      </c>
      <c r="BK826" t="s">
        <v>88</v>
      </c>
      <c r="BL826" t="s">
        <v>668</v>
      </c>
      <c r="BM826" t="s">
        <v>11070</v>
      </c>
      <c r="BN826" t="s">
        <v>74</v>
      </c>
      <c r="BO826" t="s">
        <v>907</v>
      </c>
      <c r="BP826" t="s">
        <v>74</v>
      </c>
      <c r="BQ826" t="s">
        <v>74</v>
      </c>
      <c r="BR826" t="s">
        <v>91</v>
      </c>
      <c r="BS826" t="s">
        <v>11123</v>
      </c>
      <c r="BT826" t="str">
        <f>HYPERLINK("https%3A%2F%2Fwww.webofscience.com%2Fwos%2Fwoscc%2Ffull-record%2FWOS:000166904900030","View Full Record in Web of Science")</f>
        <v>View Full Record in Web of Science</v>
      </c>
    </row>
    <row r="827" spans="1:72" x14ac:dyDescent="0.15">
      <c r="A827" t="s">
        <v>72</v>
      </c>
      <c r="B827" t="s">
        <v>11124</v>
      </c>
      <c r="C827" t="s">
        <v>74</v>
      </c>
      <c r="D827" t="s">
        <v>74</v>
      </c>
      <c r="E827" t="s">
        <v>74</v>
      </c>
      <c r="F827" t="s">
        <v>11124</v>
      </c>
      <c r="G827" t="s">
        <v>74</v>
      </c>
      <c r="H827" t="s">
        <v>74</v>
      </c>
      <c r="I827" t="s">
        <v>11125</v>
      </c>
      <c r="J827" t="s">
        <v>655</v>
      </c>
      <c r="K827" t="s">
        <v>74</v>
      </c>
      <c r="L827" t="s">
        <v>74</v>
      </c>
      <c r="M827" t="s">
        <v>77</v>
      </c>
      <c r="N827" t="s">
        <v>120</v>
      </c>
      <c r="O827" t="s">
        <v>74</v>
      </c>
      <c r="P827" t="s">
        <v>74</v>
      </c>
      <c r="Q827" t="s">
        <v>74</v>
      </c>
      <c r="R827" t="s">
        <v>74</v>
      </c>
      <c r="S827" t="s">
        <v>74</v>
      </c>
      <c r="T827" t="s">
        <v>74</v>
      </c>
      <c r="U827" t="s">
        <v>11126</v>
      </c>
      <c r="V827" t="s">
        <v>11127</v>
      </c>
      <c r="W827" t="s">
        <v>11128</v>
      </c>
      <c r="X827" t="s">
        <v>11129</v>
      </c>
      <c r="Y827" t="s">
        <v>3083</v>
      </c>
      <c r="Z827" t="s">
        <v>11130</v>
      </c>
      <c r="AA827" t="s">
        <v>11131</v>
      </c>
      <c r="AB827" t="s">
        <v>11132</v>
      </c>
      <c r="AC827" t="s">
        <v>74</v>
      </c>
      <c r="AD827" t="s">
        <v>74</v>
      </c>
      <c r="AE827" t="s">
        <v>74</v>
      </c>
      <c r="AF827" t="s">
        <v>74</v>
      </c>
      <c r="AG827">
        <v>29</v>
      </c>
      <c r="AH827">
        <v>8</v>
      </c>
      <c r="AI827">
        <v>8</v>
      </c>
      <c r="AJ827">
        <v>1</v>
      </c>
      <c r="AK827">
        <v>4</v>
      </c>
      <c r="AL827" t="s">
        <v>149</v>
      </c>
      <c r="AM827" t="s">
        <v>150</v>
      </c>
      <c r="AN827" t="s">
        <v>151</v>
      </c>
      <c r="AO827" t="s">
        <v>662</v>
      </c>
      <c r="AP827" t="s">
        <v>663</v>
      </c>
      <c r="AQ827" t="s">
        <v>74</v>
      </c>
      <c r="AR827" t="s">
        <v>664</v>
      </c>
      <c r="AS827" t="s">
        <v>665</v>
      </c>
      <c r="AT827" t="s">
        <v>11046</v>
      </c>
      <c r="AU827">
        <v>2001</v>
      </c>
      <c r="AV827">
        <v>106</v>
      </c>
      <c r="AW827" t="s">
        <v>11068</v>
      </c>
      <c r="AX827" t="s">
        <v>74</v>
      </c>
      <c r="AY827" t="s">
        <v>74</v>
      </c>
      <c r="AZ827" t="s">
        <v>74</v>
      </c>
      <c r="BA827" t="s">
        <v>74</v>
      </c>
      <c r="BB827">
        <v>2779</v>
      </c>
      <c r="BC827">
        <v>2793</v>
      </c>
      <c r="BD827" t="s">
        <v>74</v>
      </c>
      <c r="BE827" t="s">
        <v>11133</v>
      </c>
      <c r="BF827" t="str">
        <f>HYPERLINK("http://dx.doi.org/10.1029/2000JC900114","http://dx.doi.org/10.1029/2000JC900114")</f>
        <v>http://dx.doi.org/10.1029/2000JC900114</v>
      </c>
      <c r="BG827" t="s">
        <v>74</v>
      </c>
      <c r="BH827" t="s">
        <v>74</v>
      </c>
      <c r="BI827">
        <v>15</v>
      </c>
      <c r="BJ827" t="s">
        <v>668</v>
      </c>
      <c r="BK827" t="s">
        <v>88</v>
      </c>
      <c r="BL827" t="s">
        <v>668</v>
      </c>
      <c r="BM827" t="s">
        <v>11070</v>
      </c>
      <c r="BN827" t="s">
        <v>74</v>
      </c>
      <c r="BO827" t="s">
        <v>74</v>
      </c>
      <c r="BP827" t="s">
        <v>74</v>
      </c>
      <c r="BQ827" t="s">
        <v>74</v>
      </c>
      <c r="BR827" t="s">
        <v>91</v>
      </c>
      <c r="BS827" t="s">
        <v>11134</v>
      </c>
      <c r="BT827" t="str">
        <f>HYPERLINK("https%3A%2F%2Fwww.webofscience.com%2Fwos%2Fwoscc%2Ffull-record%2FWOS:000166904900031","View Full Record in Web of Science")</f>
        <v>View Full Record in Web of Science</v>
      </c>
    </row>
    <row r="828" spans="1:72" x14ac:dyDescent="0.15">
      <c r="A828" t="s">
        <v>72</v>
      </c>
      <c r="B828" t="s">
        <v>11135</v>
      </c>
      <c r="C828" t="s">
        <v>74</v>
      </c>
      <c r="D828" t="s">
        <v>74</v>
      </c>
      <c r="E828" t="s">
        <v>74</v>
      </c>
      <c r="F828" t="s">
        <v>11135</v>
      </c>
      <c r="G828" t="s">
        <v>74</v>
      </c>
      <c r="H828" t="s">
        <v>74</v>
      </c>
      <c r="I828" t="s">
        <v>11136</v>
      </c>
      <c r="J828" t="s">
        <v>655</v>
      </c>
      <c r="K828" t="s">
        <v>74</v>
      </c>
      <c r="L828" t="s">
        <v>74</v>
      </c>
      <c r="M828" t="s">
        <v>77</v>
      </c>
      <c r="N828" t="s">
        <v>120</v>
      </c>
      <c r="O828" t="s">
        <v>74</v>
      </c>
      <c r="P828" t="s">
        <v>74</v>
      </c>
      <c r="Q828" t="s">
        <v>74</v>
      </c>
      <c r="R828" t="s">
        <v>74</v>
      </c>
      <c r="S828" t="s">
        <v>74</v>
      </c>
      <c r="T828" t="s">
        <v>74</v>
      </c>
      <c r="U828" t="s">
        <v>11137</v>
      </c>
      <c r="V828" t="s">
        <v>11138</v>
      </c>
      <c r="W828" t="s">
        <v>11139</v>
      </c>
      <c r="X828" t="s">
        <v>11140</v>
      </c>
      <c r="Y828" t="s">
        <v>11141</v>
      </c>
      <c r="Z828" t="s">
        <v>11142</v>
      </c>
      <c r="AA828" t="s">
        <v>11143</v>
      </c>
      <c r="AB828" t="s">
        <v>11144</v>
      </c>
      <c r="AC828" t="s">
        <v>74</v>
      </c>
      <c r="AD828" t="s">
        <v>74</v>
      </c>
      <c r="AE828" t="s">
        <v>74</v>
      </c>
      <c r="AF828" t="s">
        <v>74</v>
      </c>
      <c r="AG828">
        <v>46</v>
      </c>
      <c r="AH828">
        <v>22</v>
      </c>
      <c r="AI828">
        <v>23</v>
      </c>
      <c r="AJ828">
        <v>0</v>
      </c>
      <c r="AK828">
        <v>4</v>
      </c>
      <c r="AL828" t="s">
        <v>149</v>
      </c>
      <c r="AM828" t="s">
        <v>150</v>
      </c>
      <c r="AN828" t="s">
        <v>151</v>
      </c>
      <c r="AO828" t="s">
        <v>662</v>
      </c>
      <c r="AP828" t="s">
        <v>663</v>
      </c>
      <c r="AQ828" t="s">
        <v>74</v>
      </c>
      <c r="AR828" t="s">
        <v>664</v>
      </c>
      <c r="AS828" t="s">
        <v>665</v>
      </c>
      <c r="AT828" t="s">
        <v>11046</v>
      </c>
      <c r="AU828">
        <v>2001</v>
      </c>
      <c r="AV828">
        <v>106</v>
      </c>
      <c r="AW828" t="s">
        <v>11068</v>
      </c>
      <c r="AX828" t="s">
        <v>74</v>
      </c>
      <c r="AY828" t="s">
        <v>74</v>
      </c>
      <c r="AZ828" t="s">
        <v>74</v>
      </c>
      <c r="BA828" t="s">
        <v>74</v>
      </c>
      <c r="BB828">
        <v>2795</v>
      </c>
      <c r="BC828">
        <v>2814</v>
      </c>
      <c r="BD828" t="s">
        <v>74</v>
      </c>
      <c r="BE828" t="s">
        <v>11145</v>
      </c>
      <c r="BF828" t="str">
        <f>HYPERLINK("http://dx.doi.org/10.1029/2000JC900117","http://dx.doi.org/10.1029/2000JC900117")</f>
        <v>http://dx.doi.org/10.1029/2000JC900117</v>
      </c>
      <c r="BG828" t="s">
        <v>74</v>
      </c>
      <c r="BH828" t="s">
        <v>74</v>
      </c>
      <c r="BI828">
        <v>20</v>
      </c>
      <c r="BJ828" t="s">
        <v>668</v>
      </c>
      <c r="BK828" t="s">
        <v>88</v>
      </c>
      <c r="BL828" t="s">
        <v>668</v>
      </c>
      <c r="BM828" t="s">
        <v>11070</v>
      </c>
      <c r="BN828" t="s">
        <v>74</v>
      </c>
      <c r="BO828" t="s">
        <v>171</v>
      </c>
      <c r="BP828" t="s">
        <v>74</v>
      </c>
      <c r="BQ828" t="s">
        <v>74</v>
      </c>
      <c r="BR828" t="s">
        <v>91</v>
      </c>
      <c r="BS828" t="s">
        <v>11146</v>
      </c>
      <c r="BT828" t="str">
        <f>HYPERLINK("https%3A%2F%2Fwww.webofscience.com%2Fwos%2Fwoscc%2Ffull-record%2FWOS:000166904900032","View Full Record in Web of Science")</f>
        <v>View Full Record in Web of Science</v>
      </c>
    </row>
    <row r="829" spans="1:72" x14ac:dyDescent="0.15">
      <c r="A829" t="s">
        <v>72</v>
      </c>
      <c r="B829" t="s">
        <v>11147</v>
      </c>
      <c r="C829" t="s">
        <v>74</v>
      </c>
      <c r="D829" t="s">
        <v>74</v>
      </c>
      <c r="E829" t="s">
        <v>74</v>
      </c>
      <c r="F829" t="s">
        <v>11147</v>
      </c>
      <c r="G829" t="s">
        <v>74</v>
      </c>
      <c r="H829" t="s">
        <v>74</v>
      </c>
      <c r="I829" t="s">
        <v>11148</v>
      </c>
      <c r="J829" t="s">
        <v>655</v>
      </c>
      <c r="K829" t="s">
        <v>74</v>
      </c>
      <c r="L829" t="s">
        <v>74</v>
      </c>
      <c r="M829" t="s">
        <v>77</v>
      </c>
      <c r="N829" t="s">
        <v>120</v>
      </c>
      <c r="O829" t="s">
        <v>74</v>
      </c>
      <c r="P829" t="s">
        <v>74</v>
      </c>
      <c r="Q829" t="s">
        <v>74</v>
      </c>
      <c r="R829" t="s">
        <v>74</v>
      </c>
      <c r="S829" t="s">
        <v>74</v>
      </c>
      <c r="T829" t="s">
        <v>74</v>
      </c>
      <c r="U829" t="s">
        <v>11149</v>
      </c>
      <c r="V829" t="s">
        <v>11150</v>
      </c>
      <c r="W829" t="s">
        <v>11151</v>
      </c>
      <c r="X829" t="s">
        <v>1856</v>
      </c>
      <c r="Y829" t="s">
        <v>11152</v>
      </c>
      <c r="Z829" t="s">
        <v>11153</v>
      </c>
      <c r="AA829" t="s">
        <v>11154</v>
      </c>
      <c r="AB829" t="s">
        <v>11155</v>
      </c>
      <c r="AC829" t="s">
        <v>74</v>
      </c>
      <c r="AD829" t="s">
        <v>74</v>
      </c>
      <c r="AE829" t="s">
        <v>74</v>
      </c>
      <c r="AF829" t="s">
        <v>74</v>
      </c>
      <c r="AG829">
        <v>48</v>
      </c>
      <c r="AH829">
        <v>119</v>
      </c>
      <c r="AI829">
        <v>125</v>
      </c>
      <c r="AJ829">
        <v>0</v>
      </c>
      <c r="AK829">
        <v>12</v>
      </c>
      <c r="AL829" t="s">
        <v>149</v>
      </c>
      <c r="AM829" t="s">
        <v>150</v>
      </c>
      <c r="AN829" t="s">
        <v>151</v>
      </c>
      <c r="AO829" t="s">
        <v>662</v>
      </c>
      <c r="AP829" t="s">
        <v>663</v>
      </c>
      <c r="AQ829" t="s">
        <v>74</v>
      </c>
      <c r="AR829" t="s">
        <v>664</v>
      </c>
      <c r="AS829" t="s">
        <v>665</v>
      </c>
      <c r="AT829" t="s">
        <v>11046</v>
      </c>
      <c r="AU829">
        <v>2001</v>
      </c>
      <c r="AV829">
        <v>106</v>
      </c>
      <c r="AW829" t="s">
        <v>11068</v>
      </c>
      <c r="AX829" t="s">
        <v>74</v>
      </c>
      <c r="AY829" t="s">
        <v>74</v>
      </c>
      <c r="AZ829" t="s">
        <v>74</v>
      </c>
      <c r="BA829" t="s">
        <v>74</v>
      </c>
      <c r="BB829">
        <v>2815</v>
      </c>
      <c r="BC829">
        <v>2832</v>
      </c>
      <c r="BD829" t="s">
        <v>74</v>
      </c>
      <c r="BE829" t="s">
        <v>11156</v>
      </c>
      <c r="BF829" t="str">
        <f>HYPERLINK("http://dx.doi.org/10.1029/2000JC900107","http://dx.doi.org/10.1029/2000JC900107")</f>
        <v>http://dx.doi.org/10.1029/2000JC900107</v>
      </c>
      <c r="BG829" t="s">
        <v>74</v>
      </c>
      <c r="BH829" t="s">
        <v>74</v>
      </c>
      <c r="BI829">
        <v>18</v>
      </c>
      <c r="BJ829" t="s">
        <v>668</v>
      </c>
      <c r="BK829" t="s">
        <v>88</v>
      </c>
      <c r="BL829" t="s">
        <v>668</v>
      </c>
      <c r="BM829" t="s">
        <v>11070</v>
      </c>
      <c r="BN829" t="s">
        <v>74</v>
      </c>
      <c r="BO829" t="s">
        <v>896</v>
      </c>
      <c r="BP829" t="s">
        <v>74</v>
      </c>
      <c r="BQ829" t="s">
        <v>74</v>
      </c>
      <c r="BR829" t="s">
        <v>91</v>
      </c>
      <c r="BS829" t="s">
        <v>11157</v>
      </c>
      <c r="BT829" t="str">
        <f>HYPERLINK("https%3A%2F%2Fwww.webofscience.com%2Fwos%2Fwoscc%2Ffull-record%2FWOS:000166904900033","View Full Record in Web of Science")</f>
        <v>View Full Record in Web of Science</v>
      </c>
    </row>
    <row r="830" spans="1:72" x14ac:dyDescent="0.15">
      <c r="A830" t="s">
        <v>72</v>
      </c>
      <c r="B830" t="s">
        <v>11158</v>
      </c>
      <c r="C830" t="s">
        <v>74</v>
      </c>
      <c r="D830" t="s">
        <v>74</v>
      </c>
      <c r="E830" t="s">
        <v>74</v>
      </c>
      <c r="F830" t="s">
        <v>11158</v>
      </c>
      <c r="G830" t="s">
        <v>74</v>
      </c>
      <c r="H830" t="s">
        <v>74</v>
      </c>
      <c r="I830" t="s">
        <v>11159</v>
      </c>
      <c r="J830" t="s">
        <v>655</v>
      </c>
      <c r="K830" t="s">
        <v>74</v>
      </c>
      <c r="L830" t="s">
        <v>74</v>
      </c>
      <c r="M830" t="s">
        <v>77</v>
      </c>
      <c r="N830" t="s">
        <v>120</v>
      </c>
      <c r="O830" t="s">
        <v>74</v>
      </c>
      <c r="P830" t="s">
        <v>74</v>
      </c>
      <c r="Q830" t="s">
        <v>74</v>
      </c>
      <c r="R830" t="s">
        <v>74</v>
      </c>
      <c r="S830" t="s">
        <v>74</v>
      </c>
      <c r="T830" t="s">
        <v>74</v>
      </c>
      <c r="U830" t="s">
        <v>11160</v>
      </c>
      <c r="V830" t="s">
        <v>11161</v>
      </c>
      <c r="W830" t="s">
        <v>11162</v>
      </c>
      <c r="X830" t="s">
        <v>11163</v>
      </c>
      <c r="Y830" t="s">
        <v>11164</v>
      </c>
      <c r="Z830" t="s">
        <v>11165</v>
      </c>
      <c r="AA830" t="s">
        <v>74</v>
      </c>
      <c r="AB830" t="s">
        <v>11166</v>
      </c>
      <c r="AC830" t="s">
        <v>74</v>
      </c>
      <c r="AD830" t="s">
        <v>74</v>
      </c>
      <c r="AE830" t="s">
        <v>74</v>
      </c>
      <c r="AF830" t="s">
        <v>74</v>
      </c>
      <c r="AG830">
        <v>15</v>
      </c>
      <c r="AH830">
        <v>82</v>
      </c>
      <c r="AI830">
        <v>89</v>
      </c>
      <c r="AJ830">
        <v>2</v>
      </c>
      <c r="AK830">
        <v>12</v>
      </c>
      <c r="AL830" t="s">
        <v>149</v>
      </c>
      <c r="AM830" t="s">
        <v>150</v>
      </c>
      <c r="AN830" t="s">
        <v>151</v>
      </c>
      <c r="AO830" t="s">
        <v>662</v>
      </c>
      <c r="AP830" t="s">
        <v>663</v>
      </c>
      <c r="AQ830" t="s">
        <v>74</v>
      </c>
      <c r="AR830" t="s">
        <v>664</v>
      </c>
      <c r="AS830" t="s">
        <v>665</v>
      </c>
      <c r="AT830" t="s">
        <v>11046</v>
      </c>
      <c r="AU830">
        <v>2001</v>
      </c>
      <c r="AV830">
        <v>106</v>
      </c>
      <c r="AW830" t="s">
        <v>11068</v>
      </c>
      <c r="AX830" t="s">
        <v>74</v>
      </c>
      <c r="AY830" t="s">
        <v>74</v>
      </c>
      <c r="AZ830" t="s">
        <v>74</v>
      </c>
      <c r="BA830" t="s">
        <v>74</v>
      </c>
      <c r="BB830">
        <v>2833</v>
      </c>
      <c r="BC830">
        <v>2855</v>
      </c>
      <c r="BD830" t="s">
        <v>74</v>
      </c>
      <c r="BE830" t="s">
        <v>11167</v>
      </c>
      <c r="BF830" t="str">
        <f>HYPERLINK("http://dx.doi.org/10.1029/2000JC900112","http://dx.doi.org/10.1029/2000JC900112")</f>
        <v>http://dx.doi.org/10.1029/2000JC900112</v>
      </c>
      <c r="BG830" t="s">
        <v>74</v>
      </c>
      <c r="BH830" t="s">
        <v>74</v>
      </c>
      <c r="BI830">
        <v>23</v>
      </c>
      <c r="BJ830" t="s">
        <v>668</v>
      </c>
      <c r="BK830" t="s">
        <v>88</v>
      </c>
      <c r="BL830" t="s">
        <v>668</v>
      </c>
      <c r="BM830" t="s">
        <v>11070</v>
      </c>
      <c r="BN830" t="s">
        <v>74</v>
      </c>
      <c r="BO830" t="s">
        <v>171</v>
      </c>
      <c r="BP830" t="s">
        <v>74</v>
      </c>
      <c r="BQ830" t="s">
        <v>74</v>
      </c>
      <c r="BR830" t="s">
        <v>91</v>
      </c>
      <c r="BS830" t="s">
        <v>11168</v>
      </c>
      <c r="BT830" t="str">
        <f>HYPERLINK("https%3A%2F%2Fwww.webofscience.com%2Fwos%2Fwoscc%2Ffull-record%2FWOS:000166904900034","View Full Record in Web of Science")</f>
        <v>View Full Record in Web of Science</v>
      </c>
    </row>
    <row r="831" spans="1:72" x14ac:dyDescent="0.15">
      <c r="A831" t="s">
        <v>72</v>
      </c>
      <c r="B831" t="s">
        <v>11169</v>
      </c>
      <c r="C831" t="s">
        <v>74</v>
      </c>
      <c r="D831" t="s">
        <v>74</v>
      </c>
      <c r="E831" t="s">
        <v>74</v>
      </c>
      <c r="F831" t="s">
        <v>11169</v>
      </c>
      <c r="G831" t="s">
        <v>74</v>
      </c>
      <c r="H831" t="s">
        <v>74</v>
      </c>
      <c r="I831" t="s">
        <v>11170</v>
      </c>
      <c r="J831" t="s">
        <v>655</v>
      </c>
      <c r="K831" t="s">
        <v>74</v>
      </c>
      <c r="L831" t="s">
        <v>74</v>
      </c>
      <c r="M831" t="s">
        <v>77</v>
      </c>
      <c r="N831" t="s">
        <v>120</v>
      </c>
      <c r="O831" t="s">
        <v>74</v>
      </c>
      <c r="P831" t="s">
        <v>74</v>
      </c>
      <c r="Q831" t="s">
        <v>74</v>
      </c>
      <c r="R831" t="s">
        <v>74</v>
      </c>
      <c r="S831" t="s">
        <v>74</v>
      </c>
      <c r="T831" t="s">
        <v>74</v>
      </c>
      <c r="U831" t="s">
        <v>11171</v>
      </c>
      <c r="V831" t="s">
        <v>11172</v>
      </c>
      <c r="W831" t="s">
        <v>11173</v>
      </c>
      <c r="X831" t="s">
        <v>11174</v>
      </c>
      <c r="Y831" t="s">
        <v>11175</v>
      </c>
      <c r="Z831" t="s">
        <v>11176</v>
      </c>
      <c r="AA831" t="s">
        <v>74</v>
      </c>
      <c r="AB831" t="s">
        <v>74</v>
      </c>
      <c r="AC831" t="s">
        <v>74</v>
      </c>
      <c r="AD831" t="s">
        <v>74</v>
      </c>
      <c r="AE831" t="s">
        <v>74</v>
      </c>
      <c r="AF831" t="s">
        <v>74</v>
      </c>
      <c r="AG831">
        <v>44</v>
      </c>
      <c r="AH831">
        <v>50</v>
      </c>
      <c r="AI831">
        <v>55</v>
      </c>
      <c r="AJ831">
        <v>0</v>
      </c>
      <c r="AK831">
        <v>8</v>
      </c>
      <c r="AL831" t="s">
        <v>149</v>
      </c>
      <c r="AM831" t="s">
        <v>150</v>
      </c>
      <c r="AN831" t="s">
        <v>151</v>
      </c>
      <c r="AO831" t="s">
        <v>662</v>
      </c>
      <c r="AP831" t="s">
        <v>663</v>
      </c>
      <c r="AQ831" t="s">
        <v>74</v>
      </c>
      <c r="AR831" t="s">
        <v>664</v>
      </c>
      <c r="AS831" t="s">
        <v>665</v>
      </c>
      <c r="AT831" t="s">
        <v>11046</v>
      </c>
      <c r="AU831">
        <v>2001</v>
      </c>
      <c r="AV831">
        <v>106</v>
      </c>
      <c r="AW831" t="s">
        <v>11068</v>
      </c>
      <c r="AX831" t="s">
        <v>74</v>
      </c>
      <c r="AY831" t="s">
        <v>74</v>
      </c>
      <c r="AZ831" t="s">
        <v>74</v>
      </c>
      <c r="BA831" t="s">
        <v>74</v>
      </c>
      <c r="BB831">
        <v>2857</v>
      </c>
      <c r="BC831">
        <v>2879</v>
      </c>
      <c r="BD831" t="s">
        <v>74</v>
      </c>
      <c r="BE831" t="s">
        <v>11177</v>
      </c>
      <c r="BF831" t="str">
        <f>HYPERLINK("http://dx.doi.org/10.1029/2000JC900087","http://dx.doi.org/10.1029/2000JC900087")</f>
        <v>http://dx.doi.org/10.1029/2000JC900087</v>
      </c>
      <c r="BG831" t="s">
        <v>74</v>
      </c>
      <c r="BH831" t="s">
        <v>74</v>
      </c>
      <c r="BI831">
        <v>23</v>
      </c>
      <c r="BJ831" t="s">
        <v>668</v>
      </c>
      <c r="BK831" t="s">
        <v>88</v>
      </c>
      <c r="BL831" t="s">
        <v>668</v>
      </c>
      <c r="BM831" t="s">
        <v>11070</v>
      </c>
      <c r="BN831" t="s">
        <v>74</v>
      </c>
      <c r="BO831" t="s">
        <v>74</v>
      </c>
      <c r="BP831" t="s">
        <v>74</v>
      </c>
      <c r="BQ831" t="s">
        <v>74</v>
      </c>
      <c r="BR831" t="s">
        <v>91</v>
      </c>
      <c r="BS831" t="s">
        <v>11178</v>
      </c>
      <c r="BT831" t="str">
        <f>HYPERLINK("https%3A%2F%2Fwww.webofscience.com%2Fwos%2Fwoscc%2Ffull-record%2FWOS:000166904900035","View Full Record in Web of Science")</f>
        <v>View Full Record in Web of Science</v>
      </c>
    </row>
    <row r="832" spans="1:72" x14ac:dyDescent="0.15">
      <c r="A832" t="s">
        <v>72</v>
      </c>
      <c r="B832" t="s">
        <v>11179</v>
      </c>
      <c r="C832" t="s">
        <v>74</v>
      </c>
      <c r="D832" t="s">
        <v>74</v>
      </c>
      <c r="E832" t="s">
        <v>74</v>
      </c>
      <c r="F832" t="s">
        <v>11179</v>
      </c>
      <c r="G832" t="s">
        <v>74</v>
      </c>
      <c r="H832" t="s">
        <v>74</v>
      </c>
      <c r="I832" t="s">
        <v>11180</v>
      </c>
      <c r="J832" t="s">
        <v>655</v>
      </c>
      <c r="K832" t="s">
        <v>74</v>
      </c>
      <c r="L832" t="s">
        <v>74</v>
      </c>
      <c r="M832" t="s">
        <v>77</v>
      </c>
      <c r="N832" t="s">
        <v>120</v>
      </c>
      <c r="O832" t="s">
        <v>74</v>
      </c>
      <c r="P832" t="s">
        <v>74</v>
      </c>
      <c r="Q832" t="s">
        <v>74</v>
      </c>
      <c r="R832" t="s">
        <v>74</v>
      </c>
      <c r="S832" t="s">
        <v>74</v>
      </c>
      <c r="T832" t="s">
        <v>74</v>
      </c>
      <c r="U832" t="s">
        <v>11181</v>
      </c>
      <c r="V832" t="s">
        <v>11182</v>
      </c>
      <c r="W832" t="s">
        <v>11183</v>
      </c>
      <c r="X832" t="s">
        <v>11184</v>
      </c>
      <c r="Y832" t="s">
        <v>11185</v>
      </c>
      <c r="Z832" t="s">
        <v>11186</v>
      </c>
      <c r="AA832" t="s">
        <v>74</v>
      </c>
      <c r="AB832" t="s">
        <v>74</v>
      </c>
      <c r="AC832" t="s">
        <v>74</v>
      </c>
      <c r="AD832" t="s">
        <v>74</v>
      </c>
      <c r="AE832" t="s">
        <v>74</v>
      </c>
      <c r="AF832" t="s">
        <v>74</v>
      </c>
      <c r="AG832">
        <v>43</v>
      </c>
      <c r="AH832">
        <v>64</v>
      </c>
      <c r="AI832">
        <v>66</v>
      </c>
      <c r="AJ832">
        <v>0</v>
      </c>
      <c r="AK832">
        <v>6</v>
      </c>
      <c r="AL832" t="s">
        <v>149</v>
      </c>
      <c r="AM832" t="s">
        <v>150</v>
      </c>
      <c r="AN832" t="s">
        <v>151</v>
      </c>
      <c r="AO832" t="s">
        <v>662</v>
      </c>
      <c r="AP832" t="s">
        <v>663</v>
      </c>
      <c r="AQ832" t="s">
        <v>74</v>
      </c>
      <c r="AR832" t="s">
        <v>664</v>
      </c>
      <c r="AS832" t="s">
        <v>665</v>
      </c>
      <c r="AT832" t="s">
        <v>11046</v>
      </c>
      <c r="AU832">
        <v>2001</v>
      </c>
      <c r="AV832">
        <v>106</v>
      </c>
      <c r="AW832" t="s">
        <v>11068</v>
      </c>
      <c r="AX832" t="s">
        <v>74</v>
      </c>
      <c r="AY832" t="s">
        <v>74</v>
      </c>
      <c r="AZ832" t="s">
        <v>74</v>
      </c>
      <c r="BA832" t="s">
        <v>74</v>
      </c>
      <c r="BB832">
        <v>2881</v>
      </c>
      <c r="BC832">
        <v>2898</v>
      </c>
      <c r="BD832" t="s">
        <v>74</v>
      </c>
      <c r="BE832" t="s">
        <v>11187</v>
      </c>
      <c r="BF832" t="str">
        <f>HYPERLINK("http://dx.doi.org/10.1029/2000JC900090","http://dx.doi.org/10.1029/2000JC900090")</f>
        <v>http://dx.doi.org/10.1029/2000JC900090</v>
      </c>
      <c r="BG832" t="s">
        <v>74</v>
      </c>
      <c r="BH832" t="s">
        <v>74</v>
      </c>
      <c r="BI832">
        <v>18</v>
      </c>
      <c r="BJ832" t="s">
        <v>668</v>
      </c>
      <c r="BK832" t="s">
        <v>88</v>
      </c>
      <c r="BL832" t="s">
        <v>668</v>
      </c>
      <c r="BM832" t="s">
        <v>11070</v>
      </c>
      <c r="BN832" t="s">
        <v>74</v>
      </c>
      <c r="BO832" t="s">
        <v>171</v>
      </c>
      <c r="BP832" t="s">
        <v>74</v>
      </c>
      <c r="BQ832" t="s">
        <v>74</v>
      </c>
      <c r="BR832" t="s">
        <v>91</v>
      </c>
      <c r="BS832" t="s">
        <v>11188</v>
      </c>
      <c r="BT832" t="str">
        <f>HYPERLINK("https%3A%2F%2Fwww.webofscience.com%2Fwos%2Fwoscc%2Ffull-record%2FWOS:000166904900036","View Full Record in Web of Science")</f>
        <v>View Full Record in Web of Science</v>
      </c>
    </row>
    <row r="833" spans="1:72" x14ac:dyDescent="0.15">
      <c r="A833" t="s">
        <v>72</v>
      </c>
      <c r="B833" t="s">
        <v>11189</v>
      </c>
      <c r="C833" t="s">
        <v>74</v>
      </c>
      <c r="D833" t="s">
        <v>74</v>
      </c>
      <c r="E833" t="s">
        <v>74</v>
      </c>
      <c r="F833" t="s">
        <v>11189</v>
      </c>
      <c r="G833" t="s">
        <v>74</v>
      </c>
      <c r="H833" t="s">
        <v>74</v>
      </c>
      <c r="I833" t="s">
        <v>11190</v>
      </c>
      <c r="J833" t="s">
        <v>655</v>
      </c>
      <c r="K833" t="s">
        <v>74</v>
      </c>
      <c r="L833" t="s">
        <v>74</v>
      </c>
      <c r="M833" t="s">
        <v>77</v>
      </c>
      <c r="N833" t="s">
        <v>120</v>
      </c>
      <c r="O833" t="s">
        <v>74</v>
      </c>
      <c r="P833" t="s">
        <v>74</v>
      </c>
      <c r="Q833" t="s">
        <v>74</v>
      </c>
      <c r="R833" t="s">
        <v>74</v>
      </c>
      <c r="S833" t="s">
        <v>74</v>
      </c>
      <c r="T833" t="s">
        <v>74</v>
      </c>
      <c r="U833" t="s">
        <v>11191</v>
      </c>
      <c r="V833" t="s">
        <v>11192</v>
      </c>
      <c r="W833" t="s">
        <v>11193</v>
      </c>
      <c r="X833" t="s">
        <v>11194</v>
      </c>
      <c r="Y833" t="s">
        <v>11195</v>
      </c>
      <c r="Z833" t="s">
        <v>11196</v>
      </c>
      <c r="AA833" t="s">
        <v>74</v>
      </c>
      <c r="AB833" t="s">
        <v>11197</v>
      </c>
      <c r="AC833" t="s">
        <v>74</v>
      </c>
      <c r="AD833" t="s">
        <v>74</v>
      </c>
      <c r="AE833" t="s">
        <v>74</v>
      </c>
      <c r="AF833" t="s">
        <v>74</v>
      </c>
      <c r="AG833">
        <v>52</v>
      </c>
      <c r="AH833">
        <v>19</v>
      </c>
      <c r="AI833">
        <v>19</v>
      </c>
      <c r="AJ833">
        <v>0</v>
      </c>
      <c r="AK833">
        <v>6</v>
      </c>
      <c r="AL833" t="s">
        <v>149</v>
      </c>
      <c r="AM833" t="s">
        <v>150</v>
      </c>
      <c r="AN833" t="s">
        <v>151</v>
      </c>
      <c r="AO833" t="s">
        <v>662</v>
      </c>
      <c r="AP833" t="s">
        <v>663</v>
      </c>
      <c r="AQ833" t="s">
        <v>74</v>
      </c>
      <c r="AR833" t="s">
        <v>664</v>
      </c>
      <c r="AS833" t="s">
        <v>665</v>
      </c>
      <c r="AT833" t="s">
        <v>11046</v>
      </c>
      <c r="AU833">
        <v>2001</v>
      </c>
      <c r="AV833">
        <v>106</v>
      </c>
      <c r="AW833" t="s">
        <v>11068</v>
      </c>
      <c r="AX833" t="s">
        <v>74</v>
      </c>
      <c r="AY833" t="s">
        <v>74</v>
      </c>
      <c r="AZ833" t="s">
        <v>74</v>
      </c>
      <c r="BA833" t="s">
        <v>74</v>
      </c>
      <c r="BB833">
        <v>2899</v>
      </c>
      <c r="BC833">
        <v>2919</v>
      </c>
      <c r="BD833" t="s">
        <v>74</v>
      </c>
      <c r="BE833" t="s">
        <v>11198</v>
      </c>
      <c r="BF833" t="str">
        <f>HYPERLINK("http://dx.doi.org/10.1029/2000JC900119","http://dx.doi.org/10.1029/2000JC900119")</f>
        <v>http://dx.doi.org/10.1029/2000JC900119</v>
      </c>
      <c r="BG833" t="s">
        <v>74</v>
      </c>
      <c r="BH833" t="s">
        <v>74</v>
      </c>
      <c r="BI833">
        <v>21</v>
      </c>
      <c r="BJ833" t="s">
        <v>668</v>
      </c>
      <c r="BK833" t="s">
        <v>88</v>
      </c>
      <c r="BL833" t="s">
        <v>668</v>
      </c>
      <c r="BM833" t="s">
        <v>11070</v>
      </c>
      <c r="BN833" t="s">
        <v>74</v>
      </c>
      <c r="BO833" t="s">
        <v>171</v>
      </c>
      <c r="BP833" t="s">
        <v>74</v>
      </c>
      <c r="BQ833" t="s">
        <v>74</v>
      </c>
      <c r="BR833" t="s">
        <v>91</v>
      </c>
      <c r="BS833" t="s">
        <v>11199</v>
      </c>
      <c r="BT833" t="str">
        <f>HYPERLINK("https%3A%2F%2Fwww.webofscience.com%2Fwos%2Fwoscc%2Ffull-record%2FWOS:000166904900037","View Full Record in Web of Science")</f>
        <v>View Full Record in Web of Science</v>
      </c>
    </row>
    <row r="834" spans="1:72" x14ac:dyDescent="0.15">
      <c r="A834" t="s">
        <v>72</v>
      </c>
      <c r="B834" t="s">
        <v>11200</v>
      </c>
      <c r="C834" t="s">
        <v>74</v>
      </c>
      <c r="D834" t="s">
        <v>74</v>
      </c>
      <c r="E834" t="s">
        <v>74</v>
      </c>
      <c r="F834" t="s">
        <v>11200</v>
      </c>
      <c r="G834" t="s">
        <v>74</v>
      </c>
      <c r="H834" t="s">
        <v>74</v>
      </c>
      <c r="I834" t="s">
        <v>11201</v>
      </c>
      <c r="J834" t="s">
        <v>5238</v>
      </c>
      <c r="K834" t="s">
        <v>74</v>
      </c>
      <c r="L834" t="s">
        <v>74</v>
      </c>
      <c r="M834" t="s">
        <v>77</v>
      </c>
      <c r="N834" t="s">
        <v>696</v>
      </c>
      <c r="O834" t="s">
        <v>74</v>
      </c>
      <c r="P834" t="s">
        <v>74</v>
      </c>
      <c r="Q834" t="s">
        <v>74</v>
      </c>
      <c r="R834" t="s">
        <v>74</v>
      </c>
      <c r="S834" t="s">
        <v>74</v>
      </c>
      <c r="T834" t="s">
        <v>74</v>
      </c>
      <c r="U834" t="s">
        <v>74</v>
      </c>
      <c r="V834" t="s">
        <v>74</v>
      </c>
      <c r="W834" t="s">
        <v>74</v>
      </c>
      <c r="X834" t="s">
        <v>74</v>
      </c>
      <c r="Y834" t="s">
        <v>74</v>
      </c>
      <c r="Z834" t="s">
        <v>74</v>
      </c>
      <c r="AA834" t="s">
        <v>11202</v>
      </c>
      <c r="AB834" t="s">
        <v>74</v>
      </c>
      <c r="AC834" t="s">
        <v>74</v>
      </c>
      <c r="AD834" t="s">
        <v>74</v>
      </c>
      <c r="AE834" t="s">
        <v>74</v>
      </c>
      <c r="AF834" t="s">
        <v>74</v>
      </c>
      <c r="AG834">
        <v>1</v>
      </c>
      <c r="AH834">
        <v>0</v>
      </c>
      <c r="AI834">
        <v>0</v>
      </c>
      <c r="AJ834">
        <v>0</v>
      </c>
      <c r="AK834">
        <v>1</v>
      </c>
      <c r="AL834" t="s">
        <v>5239</v>
      </c>
      <c r="AM834" t="s">
        <v>204</v>
      </c>
      <c r="AN834" t="s">
        <v>5240</v>
      </c>
      <c r="AO834" t="s">
        <v>5241</v>
      </c>
      <c r="AP834" t="s">
        <v>74</v>
      </c>
      <c r="AQ834" t="s">
        <v>74</v>
      </c>
      <c r="AR834" t="s">
        <v>5242</v>
      </c>
      <c r="AS834" t="s">
        <v>5243</v>
      </c>
      <c r="AT834" t="s">
        <v>11046</v>
      </c>
      <c r="AU834">
        <v>2001</v>
      </c>
      <c r="AV834">
        <v>126</v>
      </c>
      <c r="AW834">
        <v>3</v>
      </c>
      <c r="AX834" t="s">
        <v>74</v>
      </c>
      <c r="AY834" t="s">
        <v>74</v>
      </c>
      <c r="AZ834" t="s">
        <v>74</v>
      </c>
      <c r="BA834" t="s">
        <v>74</v>
      </c>
      <c r="BB834">
        <v>179</v>
      </c>
      <c r="BC834">
        <v>180</v>
      </c>
      <c r="BD834" t="s">
        <v>74</v>
      </c>
      <c r="BE834" t="s">
        <v>74</v>
      </c>
      <c r="BF834" t="s">
        <v>74</v>
      </c>
      <c r="BG834" t="s">
        <v>74</v>
      </c>
      <c r="BH834" t="s">
        <v>74</v>
      </c>
      <c r="BI834">
        <v>2</v>
      </c>
      <c r="BJ834" t="s">
        <v>5244</v>
      </c>
      <c r="BK834" t="s">
        <v>1796</v>
      </c>
      <c r="BL834" t="s">
        <v>5244</v>
      </c>
      <c r="BM834" t="s">
        <v>11203</v>
      </c>
      <c r="BN834" t="s">
        <v>74</v>
      </c>
      <c r="BO834" t="s">
        <v>74</v>
      </c>
      <c r="BP834" t="s">
        <v>74</v>
      </c>
      <c r="BQ834" t="s">
        <v>74</v>
      </c>
      <c r="BR834" t="s">
        <v>91</v>
      </c>
      <c r="BS834" t="s">
        <v>11204</v>
      </c>
      <c r="BT834" t="str">
        <f>HYPERLINK("https%3A%2F%2Fwww.webofscience.com%2Fwos%2Fwoscc%2Ffull-record%2FWOS:000166904800137","View Full Record in Web of Science")</f>
        <v>View Full Record in Web of Science</v>
      </c>
    </row>
    <row r="835" spans="1:72" x14ac:dyDescent="0.15">
      <c r="A835" t="s">
        <v>72</v>
      </c>
      <c r="B835" t="s">
        <v>11205</v>
      </c>
      <c r="C835" t="s">
        <v>74</v>
      </c>
      <c r="D835" t="s">
        <v>74</v>
      </c>
      <c r="E835" t="s">
        <v>74</v>
      </c>
      <c r="F835" t="s">
        <v>11205</v>
      </c>
      <c r="G835" t="s">
        <v>74</v>
      </c>
      <c r="H835" t="s">
        <v>74</v>
      </c>
      <c r="I835" t="s">
        <v>11206</v>
      </c>
      <c r="J835" t="s">
        <v>3090</v>
      </c>
      <c r="K835" t="s">
        <v>74</v>
      </c>
      <c r="L835" t="s">
        <v>74</v>
      </c>
      <c r="M835" t="s">
        <v>77</v>
      </c>
      <c r="N835" t="s">
        <v>120</v>
      </c>
      <c r="O835" t="s">
        <v>74</v>
      </c>
      <c r="P835" t="s">
        <v>74</v>
      </c>
      <c r="Q835" t="s">
        <v>74</v>
      </c>
      <c r="R835" t="s">
        <v>74</v>
      </c>
      <c r="S835" t="s">
        <v>74</v>
      </c>
      <c r="T835" t="s">
        <v>11207</v>
      </c>
      <c r="U835" t="s">
        <v>11208</v>
      </c>
      <c r="V835" t="s">
        <v>11209</v>
      </c>
      <c r="W835" t="s">
        <v>11210</v>
      </c>
      <c r="X835" t="s">
        <v>11211</v>
      </c>
      <c r="Y835" t="s">
        <v>11212</v>
      </c>
      <c r="Z835" t="s">
        <v>74</v>
      </c>
      <c r="AA835" t="s">
        <v>74</v>
      </c>
      <c r="AB835" t="s">
        <v>74</v>
      </c>
      <c r="AC835" t="s">
        <v>74</v>
      </c>
      <c r="AD835" t="s">
        <v>74</v>
      </c>
      <c r="AE835" t="s">
        <v>74</v>
      </c>
      <c r="AF835" t="s">
        <v>74</v>
      </c>
      <c r="AG835">
        <v>48</v>
      </c>
      <c r="AH835">
        <v>21</v>
      </c>
      <c r="AI835">
        <v>21</v>
      </c>
      <c r="AJ835">
        <v>1</v>
      </c>
      <c r="AK835">
        <v>3</v>
      </c>
      <c r="AL835" t="s">
        <v>488</v>
      </c>
      <c r="AM835" t="s">
        <v>350</v>
      </c>
      <c r="AN835" t="s">
        <v>489</v>
      </c>
      <c r="AO835" t="s">
        <v>3101</v>
      </c>
      <c r="AP835" t="s">
        <v>74</v>
      </c>
      <c r="AQ835" t="s">
        <v>74</v>
      </c>
      <c r="AR835" t="s">
        <v>3103</v>
      </c>
      <c r="AS835" t="s">
        <v>3104</v>
      </c>
      <c r="AT835" t="s">
        <v>11046</v>
      </c>
      <c r="AU835">
        <v>2001</v>
      </c>
      <c r="AV835">
        <v>172</v>
      </c>
      <c r="AW835" t="s">
        <v>451</v>
      </c>
      <c r="AX835" t="s">
        <v>74</v>
      </c>
      <c r="AY835" t="s">
        <v>74</v>
      </c>
      <c r="AZ835" t="s">
        <v>74</v>
      </c>
      <c r="BA835" t="s">
        <v>74</v>
      </c>
      <c r="BB835">
        <v>265</v>
      </c>
      <c r="BC835">
        <v>285</v>
      </c>
      <c r="BD835" t="s">
        <v>74</v>
      </c>
      <c r="BE835" t="s">
        <v>11213</v>
      </c>
      <c r="BF835" t="str">
        <f>HYPERLINK("http://dx.doi.org/10.1016/S0025-3227(00)00132-8","http://dx.doi.org/10.1016/S0025-3227(00)00132-8")</f>
        <v>http://dx.doi.org/10.1016/S0025-3227(00)00132-8</v>
      </c>
      <c r="BG835" t="s">
        <v>74</v>
      </c>
      <c r="BH835" t="s">
        <v>74</v>
      </c>
      <c r="BI835">
        <v>21</v>
      </c>
      <c r="BJ835" t="s">
        <v>3106</v>
      </c>
      <c r="BK835" t="s">
        <v>88</v>
      </c>
      <c r="BL835" t="s">
        <v>3107</v>
      </c>
      <c r="BM835" t="s">
        <v>11214</v>
      </c>
      <c r="BN835" t="s">
        <v>74</v>
      </c>
      <c r="BO835" t="s">
        <v>74</v>
      </c>
      <c r="BP835" t="s">
        <v>74</v>
      </c>
      <c r="BQ835" t="s">
        <v>74</v>
      </c>
      <c r="BR835" t="s">
        <v>91</v>
      </c>
      <c r="BS835" t="s">
        <v>11215</v>
      </c>
      <c r="BT835" t="str">
        <f>HYPERLINK("https%3A%2F%2Fwww.webofscience.com%2Fwos%2Fwoscc%2Ffull-record%2FWOS:000167371500007","View Full Record in Web of Science")</f>
        <v>View Full Record in Web of Science</v>
      </c>
    </row>
    <row r="836" spans="1:72" x14ac:dyDescent="0.15">
      <c r="A836" t="s">
        <v>72</v>
      </c>
      <c r="B836" t="s">
        <v>11216</v>
      </c>
      <c r="C836" t="s">
        <v>74</v>
      </c>
      <c r="D836" t="s">
        <v>74</v>
      </c>
      <c r="E836" t="s">
        <v>74</v>
      </c>
      <c r="F836" t="s">
        <v>11216</v>
      </c>
      <c r="G836" t="s">
        <v>74</v>
      </c>
      <c r="H836" t="s">
        <v>74</v>
      </c>
      <c r="I836" t="s">
        <v>11217</v>
      </c>
      <c r="J836" t="s">
        <v>11218</v>
      </c>
      <c r="K836" t="s">
        <v>74</v>
      </c>
      <c r="L836" t="s">
        <v>74</v>
      </c>
      <c r="M836" t="s">
        <v>77</v>
      </c>
      <c r="N836" t="s">
        <v>120</v>
      </c>
      <c r="O836" t="s">
        <v>74</v>
      </c>
      <c r="P836" t="s">
        <v>74</v>
      </c>
      <c r="Q836" t="s">
        <v>74</v>
      </c>
      <c r="R836" t="s">
        <v>74</v>
      </c>
      <c r="S836" t="s">
        <v>74</v>
      </c>
      <c r="T836" t="s">
        <v>74</v>
      </c>
      <c r="U836" t="s">
        <v>11219</v>
      </c>
      <c r="V836" t="s">
        <v>11220</v>
      </c>
      <c r="W836" t="s">
        <v>11221</v>
      </c>
      <c r="X836" t="s">
        <v>11222</v>
      </c>
      <c r="Y836" t="s">
        <v>11223</v>
      </c>
      <c r="Z836" t="s">
        <v>74</v>
      </c>
      <c r="AA836" t="s">
        <v>11224</v>
      </c>
      <c r="AB836" t="s">
        <v>11225</v>
      </c>
      <c r="AC836" t="s">
        <v>74</v>
      </c>
      <c r="AD836" t="s">
        <v>74</v>
      </c>
      <c r="AE836" t="s">
        <v>74</v>
      </c>
      <c r="AF836" t="s">
        <v>74</v>
      </c>
      <c r="AG836">
        <v>30</v>
      </c>
      <c r="AH836">
        <v>324</v>
      </c>
      <c r="AI836">
        <v>339</v>
      </c>
      <c r="AJ836">
        <v>0</v>
      </c>
      <c r="AK836">
        <v>5</v>
      </c>
      <c r="AL836" t="s">
        <v>11226</v>
      </c>
      <c r="AM836" t="s">
        <v>11227</v>
      </c>
      <c r="AN836" t="s">
        <v>11228</v>
      </c>
      <c r="AO836" t="s">
        <v>11229</v>
      </c>
      <c r="AP836" t="s">
        <v>11230</v>
      </c>
      <c r="AQ836" t="s">
        <v>74</v>
      </c>
      <c r="AR836" t="s">
        <v>11231</v>
      </c>
      <c r="AS836" t="s">
        <v>11232</v>
      </c>
      <c r="AT836" t="s">
        <v>11046</v>
      </c>
      <c r="AU836">
        <v>2001</v>
      </c>
      <c r="AV836">
        <v>63</v>
      </c>
      <c r="AW836">
        <v>4</v>
      </c>
      <c r="AX836" t="s">
        <v>74</v>
      </c>
      <c r="AY836" t="s">
        <v>74</v>
      </c>
      <c r="AZ836" t="s">
        <v>74</v>
      </c>
      <c r="BA836" t="s">
        <v>74</v>
      </c>
      <c r="BB836" t="s">
        <v>74</v>
      </c>
      <c r="BC836" t="s">
        <v>74</v>
      </c>
      <c r="BD836">
        <v>42001</v>
      </c>
      <c r="BE836" t="s">
        <v>11233</v>
      </c>
      <c r="BF836" t="str">
        <f>HYPERLINK("http://dx.doi.org/10.1103/PhysRevD.63.042001","http://dx.doi.org/10.1103/PhysRevD.63.042001")</f>
        <v>http://dx.doi.org/10.1103/PhysRevD.63.042001</v>
      </c>
      <c r="BG836" t="s">
        <v>74</v>
      </c>
      <c r="BH836" t="s">
        <v>74</v>
      </c>
      <c r="BI836">
        <v>8</v>
      </c>
      <c r="BJ836" t="s">
        <v>11234</v>
      </c>
      <c r="BK836" t="s">
        <v>88</v>
      </c>
      <c r="BL836" t="s">
        <v>11235</v>
      </c>
      <c r="BM836" t="s">
        <v>11236</v>
      </c>
      <c r="BN836" t="s">
        <v>74</v>
      </c>
      <c r="BO836" t="s">
        <v>1685</v>
      </c>
      <c r="BP836" t="s">
        <v>74</v>
      </c>
      <c r="BQ836" t="s">
        <v>74</v>
      </c>
      <c r="BR836" t="s">
        <v>91</v>
      </c>
      <c r="BS836" t="s">
        <v>11237</v>
      </c>
      <c r="BT836" t="str">
        <f>HYPERLINK("https%3A%2F%2Fwww.webofscience.com%2Fwos%2Fwoscc%2Ffull-record%2FWOS:000166996900005","View Full Record in Web of Science")</f>
        <v>View Full Record in Web of Science</v>
      </c>
    </row>
    <row r="837" spans="1:72" x14ac:dyDescent="0.15">
      <c r="A837" t="s">
        <v>72</v>
      </c>
      <c r="B837" t="s">
        <v>11238</v>
      </c>
      <c r="C837" t="s">
        <v>74</v>
      </c>
      <c r="D837" t="s">
        <v>74</v>
      </c>
      <c r="E837" t="s">
        <v>74</v>
      </c>
      <c r="F837" t="s">
        <v>11238</v>
      </c>
      <c r="G837" t="s">
        <v>74</v>
      </c>
      <c r="H837" t="s">
        <v>74</v>
      </c>
      <c r="I837" t="s">
        <v>11239</v>
      </c>
      <c r="J837" t="s">
        <v>710</v>
      </c>
      <c r="K837" t="s">
        <v>74</v>
      </c>
      <c r="L837" t="s">
        <v>74</v>
      </c>
      <c r="M837" t="s">
        <v>77</v>
      </c>
      <c r="N837" t="s">
        <v>120</v>
      </c>
      <c r="O837" t="s">
        <v>74</v>
      </c>
      <c r="P837" t="s">
        <v>74</v>
      </c>
      <c r="Q837" t="s">
        <v>74</v>
      </c>
      <c r="R837" t="s">
        <v>74</v>
      </c>
      <c r="S837" t="s">
        <v>74</v>
      </c>
      <c r="T837" t="s">
        <v>11240</v>
      </c>
      <c r="U837" t="s">
        <v>11241</v>
      </c>
      <c r="V837" t="s">
        <v>11242</v>
      </c>
      <c r="W837" t="s">
        <v>11243</v>
      </c>
      <c r="X837" t="s">
        <v>11244</v>
      </c>
      <c r="Y837" t="s">
        <v>11245</v>
      </c>
      <c r="Z837" t="s">
        <v>11246</v>
      </c>
      <c r="AA837" t="s">
        <v>11247</v>
      </c>
      <c r="AB837" t="s">
        <v>11248</v>
      </c>
      <c r="AC837" t="s">
        <v>74</v>
      </c>
      <c r="AD837" t="s">
        <v>74</v>
      </c>
      <c r="AE837" t="s">
        <v>74</v>
      </c>
      <c r="AF837" t="s">
        <v>74</v>
      </c>
      <c r="AG837">
        <v>21</v>
      </c>
      <c r="AH837">
        <v>64</v>
      </c>
      <c r="AI837">
        <v>64</v>
      </c>
      <c r="AJ837">
        <v>0</v>
      </c>
      <c r="AK837">
        <v>5</v>
      </c>
      <c r="AL837" t="s">
        <v>149</v>
      </c>
      <c r="AM837" t="s">
        <v>150</v>
      </c>
      <c r="AN837" t="s">
        <v>151</v>
      </c>
      <c r="AO837" t="s">
        <v>74</v>
      </c>
      <c r="AP837" t="s">
        <v>715</v>
      </c>
      <c r="AQ837" t="s">
        <v>74</v>
      </c>
      <c r="AR837" t="s">
        <v>716</v>
      </c>
      <c r="AS837" t="s">
        <v>717</v>
      </c>
      <c r="AT837" t="s">
        <v>11249</v>
      </c>
      <c r="AU837">
        <v>2001</v>
      </c>
      <c r="AV837">
        <v>2</v>
      </c>
      <c r="AW837" t="s">
        <v>74</v>
      </c>
      <c r="AX837" t="s">
        <v>74</v>
      </c>
      <c r="AY837" t="s">
        <v>74</v>
      </c>
      <c r="AZ837" t="s">
        <v>74</v>
      </c>
      <c r="BA837" t="s">
        <v>74</v>
      </c>
      <c r="BB837" t="s">
        <v>74</v>
      </c>
      <c r="BC837" t="s">
        <v>74</v>
      </c>
      <c r="BD837" t="s">
        <v>11250</v>
      </c>
      <c r="BE837" t="s">
        <v>74</v>
      </c>
      <c r="BF837" t="s">
        <v>74</v>
      </c>
      <c r="BG837" t="s">
        <v>74</v>
      </c>
      <c r="BH837" t="s">
        <v>74</v>
      </c>
      <c r="BI837">
        <v>14</v>
      </c>
      <c r="BJ837" t="s">
        <v>388</v>
      </c>
      <c r="BK837" t="s">
        <v>88</v>
      </c>
      <c r="BL837" t="s">
        <v>388</v>
      </c>
      <c r="BM837" t="s">
        <v>11251</v>
      </c>
      <c r="BN837" t="s">
        <v>74</v>
      </c>
      <c r="BO837" t="s">
        <v>74</v>
      </c>
      <c r="BP837" t="s">
        <v>74</v>
      </c>
      <c r="BQ837" t="s">
        <v>74</v>
      </c>
      <c r="BR837" t="s">
        <v>91</v>
      </c>
      <c r="BS837" t="s">
        <v>11252</v>
      </c>
      <c r="BT837" t="str">
        <f>HYPERLINK("https%3A%2F%2Fwww.webofscience.com%2Fwos%2Fwoscc%2Ffull-record%2FWOS:000170195300001","View Full Record in Web of Science")</f>
        <v>View Full Record in Web of Science</v>
      </c>
    </row>
    <row r="838" spans="1:72" x14ac:dyDescent="0.15">
      <c r="A838" t="s">
        <v>72</v>
      </c>
      <c r="B838" t="s">
        <v>11253</v>
      </c>
      <c r="C838" t="s">
        <v>74</v>
      </c>
      <c r="D838" t="s">
        <v>74</v>
      </c>
      <c r="E838" t="s">
        <v>74</v>
      </c>
      <c r="F838" t="s">
        <v>11253</v>
      </c>
      <c r="G838" t="s">
        <v>74</v>
      </c>
      <c r="H838" t="s">
        <v>74</v>
      </c>
      <c r="I838" t="s">
        <v>11254</v>
      </c>
      <c r="J838" t="s">
        <v>7767</v>
      </c>
      <c r="K838" t="s">
        <v>74</v>
      </c>
      <c r="L838" t="s">
        <v>74</v>
      </c>
      <c r="M838" t="s">
        <v>77</v>
      </c>
      <c r="N838" t="s">
        <v>120</v>
      </c>
      <c r="O838" t="s">
        <v>74</v>
      </c>
      <c r="P838" t="s">
        <v>74</v>
      </c>
      <c r="Q838" t="s">
        <v>74</v>
      </c>
      <c r="R838" t="s">
        <v>74</v>
      </c>
      <c r="S838" t="s">
        <v>74</v>
      </c>
      <c r="T838" t="s">
        <v>11255</v>
      </c>
      <c r="U838" t="s">
        <v>11256</v>
      </c>
      <c r="V838" t="s">
        <v>11257</v>
      </c>
      <c r="W838" t="s">
        <v>11258</v>
      </c>
      <c r="X838" t="s">
        <v>11259</v>
      </c>
      <c r="Y838" t="s">
        <v>11260</v>
      </c>
      <c r="Z838" t="s">
        <v>11261</v>
      </c>
      <c r="AA838" t="s">
        <v>11262</v>
      </c>
      <c r="AB838" t="s">
        <v>11263</v>
      </c>
      <c r="AC838" t="s">
        <v>74</v>
      </c>
      <c r="AD838" t="s">
        <v>74</v>
      </c>
      <c r="AE838" t="s">
        <v>74</v>
      </c>
      <c r="AF838" t="s">
        <v>74</v>
      </c>
      <c r="AG838">
        <v>20</v>
      </c>
      <c r="AH838">
        <v>53</v>
      </c>
      <c r="AI838">
        <v>55</v>
      </c>
      <c r="AJ838">
        <v>0</v>
      </c>
      <c r="AK838">
        <v>1</v>
      </c>
      <c r="AL838" t="s">
        <v>7775</v>
      </c>
      <c r="AM838" t="s">
        <v>7776</v>
      </c>
      <c r="AN838" t="s">
        <v>7777</v>
      </c>
      <c r="AO838" t="s">
        <v>7778</v>
      </c>
      <c r="AP838" t="s">
        <v>7779</v>
      </c>
      <c r="AQ838" t="s">
        <v>74</v>
      </c>
      <c r="AR838" t="s">
        <v>7780</v>
      </c>
      <c r="AS838" t="s">
        <v>7781</v>
      </c>
      <c r="AT838" t="s">
        <v>11264</v>
      </c>
      <c r="AU838">
        <v>2001</v>
      </c>
      <c r="AV838">
        <v>548</v>
      </c>
      <c r="AW838">
        <v>1</v>
      </c>
      <c r="AX838">
        <v>1</v>
      </c>
      <c r="AY838" t="s">
        <v>74</v>
      </c>
      <c r="AZ838" t="s">
        <v>74</v>
      </c>
      <c r="BA838" t="s">
        <v>74</v>
      </c>
      <c r="BB838">
        <v>253</v>
      </c>
      <c r="BC838">
        <v>257</v>
      </c>
      <c r="BD838" t="s">
        <v>74</v>
      </c>
      <c r="BE838" t="s">
        <v>11265</v>
      </c>
      <c r="BF838" t="str">
        <f>HYPERLINK("http://dx.doi.org/10.1086/318693","http://dx.doi.org/10.1086/318693")</f>
        <v>http://dx.doi.org/10.1086/318693</v>
      </c>
      <c r="BG838" t="s">
        <v>74</v>
      </c>
      <c r="BH838" t="s">
        <v>74</v>
      </c>
      <c r="BI838">
        <v>5</v>
      </c>
      <c r="BJ838" t="s">
        <v>1139</v>
      </c>
      <c r="BK838" t="s">
        <v>88</v>
      </c>
      <c r="BL838" t="s">
        <v>1139</v>
      </c>
      <c r="BM838" t="s">
        <v>11266</v>
      </c>
      <c r="BN838" t="s">
        <v>74</v>
      </c>
      <c r="BO838" t="s">
        <v>563</v>
      </c>
      <c r="BP838" t="s">
        <v>74</v>
      </c>
      <c r="BQ838" t="s">
        <v>74</v>
      </c>
      <c r="BR838" t="s">
        <v>91</v>
      </c>
      <c r="BS838" t="s">
        <v>11267</v>
      </c>
      <c r="BT838" t="str">
        <f>HYPERLINK("https%3A%2F%2Fwww.webofscience.com%2Fwos%2Fwoscc%2Ffull-record%2FWOS:000166939900022","View Full Record in Web of Science")</f>
        <v>View Full Record in Web of Science</v>
      </c>
    </row>
    <row r="839" spans="1:72" x14ac:dyDescent="0.15">
      <c r="A839" t="s">
        <v>72</v>
      </c>
      <c r="B839" t="s">
        <v>11268</v>
      </c>
      <c r="C839" t="s">
        <v>74</v>
      </c>
      <c r="D839" t="s">
        <v>74</v>
      </c>
      <c r="E839" t="s">
        <v>74</v>
      </c>
      <c r="F839" t="s">
        <v>11268</v>
      </c>
      <c r="G839" t="s">
        <v>74</v>
      </c>
      <c r="H839" t="s">
        <v>74</v>
      </c>
      <c r="I839" t="s">
        <v>11269</v>
      </c>
      <c r="J839" t="s">
        <v>3194</v>
      </c>
      <c r="K839" t="s">
        <v>74</v>
      </c>
      <c r="L839" t="s">
        <v>74</v>
      </c>
      <c r="M839" t="s">
        <v>77</v>
      </c>
      <c r="N839" t="s">
        <v>696</v>
      </c>
      <c r="O839" t="s">
        <v>74</v>
      </c>
      <c r="P839" t="s">
        <v>74</v>
      </c>
      <c r="Q839" t="s">
        <v>74</v>
      </c>
      <c r="R839" t="s">
        <v>74</v>
      </c>
      <c r="S839" t="s">
        <v>74</v>
      </c>
      <c r="T839" t="s">
        <v>74</v>
      </c>
      <c r="U839" t="s">
        <v>74</v>
      </c>
      <c r="V839" t="s">
        <v>74</v>
      </c>
      <c r="W839" t="s">
        <v>74</v>
      </c>
      <c r="X839" t="s">
        <v>74</v>
      </c>
      <c r="Y839" t="s">
        <v>74</v>
      </c>
      <c r="Z839" t="s">
        <v>74</v>
      </c>
      <c r="AA839" t="s">
        <v>74</v>
      </c>
      <c r="AB839" t="s">
        <v>74</v>
      </c>
      <c r="AC839" t="s">
        <v>74</v>
      </c>
      <c r="AD839" t="s">
        <v>74</v>
      </c>
      <c r="AE839" t="s">
        <v>74</v>
      </c>
      <c r="AF839" t="s">
        <v>74</v>
      </c>
      <c r="AG839">
        <v>1</v>
      </c>
      <c r="AH839">
        <v>0</v>
      </c>
      <c r="AI839">
        <v>0</v>
      </c>
      <c r="AJ839">
        <v>0</v>
      </c>
      <c r="AK839">
        <v>0</v>
      </c>
      <c r="AL839" t="s">
        <v>3195</v>
      </c>
      <c r="AM839" t="s">
        <v>204</v>
      </c>
      <c r="AN839" t="s">
        <v>11270</v>
      </c>
      <c r="AO839" t="s">
        <v>3197</v>
      </c>
      <c r="AP839" t="s">
        <v>74</v>
      </c>
      <c r="AQ839" t="s">
        <v>74</v>
      </c>
      <c r="AR839" t="s">
        <v>3198</v>
      </c>
      <c r="AS839" t="s">
        <v>3199</v>
      </c>
      <c r="AT839" t="s">
        <v>11271</v>
      </c>
      <c r="AU839">
        <v>2001</v>
      </c>
      <c r="AV839" t="s">
        <v>74</v>
      </c>
      <c r="AW839" t="s">
        <v>74</v>
      </c>
      <c r="AX839" t="s">
        <v>74</v>
      </c>
      <c r="AY839" t="s">
        <v>74</v>
      </c>
      <c r="AZ839" t="s">
        <v>74</v>
      </c>
      <c r="BA839" t="s">
        <v>74</v>
      </c>
      <c r="BB839">
        <v>32</v>
      </c>
      <c r="BC839">
        <v>32</v>
      </c>
      <c r="BD839" t="s">
        <v>74</v>
      </c>
      <c r="BE839" t="s">
        <v>74</v>
      </c>
      <c r="BF839" t="s">
        <v>74</v>
      </c>
      <c r="BG839" t="s">
        <v>74</v>
      </c>
      <c r="BH839" t="s">
        <v>74</v>
      </c>
      <c r="BI839">
        <v>1</v>
      </c>
      <c r="BJ839" t="s">
        <v>3201</v>
      </c>
      <c r="BK839" t="s">
        <v>3202</v>
      </c>
      <c r="BL839" t="s">
        <v>3203</v>
      </c>
      <c r="BM839" t="s">
        <v>11272</v>
      </c>
      <c r="BN839" t="s">
        <v>74</v>
      </c>
      <c r="BO839" t="s">
        <v>74</v>
      </c>
      <c r="BP839" t="s">
        <v>74</v>
      </c>
      <c r="BQ839" t="s">
        <v>74</v>
      </c>
      <c r="BR839" t="s">
        <v>91</v>
      </c>
      <c r="BS839" t="s">
        <v>11273</v>
      </c>
      <c r="BT839" t="str">
        <f>HYPERLINK("https%3A%2F%2Fwww.webofscience.com%2Fwos%2Fwoscc%2Ffull-record%2FWOS:000166615700042","View Full Record in Web of Science")</f>
        <v>View Full Record in Web of Science</v>
      </c>
    </row>
    <row r="840" spans="1:72" x14ac:dyDescent="0.15">
      <c r="A840" t="s">
        <v>72</v>
      </c>
      <c r="B840" t="s">
        <v>11274</v>
      </c>
      <c r="C840" t="s">
        <v>74</v>
      </c>
      <c r="D840" t="s">
        <v>74</v>
      </c>
      <c r="E840" t="s">
        <v>74</v>
      </c>
      <c r="F840" t="s">
        <v>11274</v>
      </c>
      <c r="G840" t="s">
        <v>74</v>
      </c>
      <c r="H840" t="s">
        <v>74</v>
      </c>
      <c r="I840" t="s">
        <v>11275</v>
      </c>
      <c r="J840" t="s">
        <v>8816</v>
      </c>
      <c r="K840" t="s">
        <v>74</v>
      </c>
      <c r="L840" t="s">
        <v>74</v>
      </c>
      <c r="M840" t="s">
        <v>77</v>
      </c>
      <c r="N840" t="s">
        <v>120</v>
      </c>
      <c r="O840" t="s">
        <v>74</v>
      </c>
      <c r="P840" t="s">
        <v>74</v>
      </c>
      <c r="Q840" t="s">
        <v>74</v>
      </c>
      <c r="R840" t="s">
        <v>74</v>
      </c>
      <c r="S840" t="s">
        <v>74</v>
      </c>
      <c r="T840" t="s">
        <v>11276</v>
      </c>
      <c r="U840" t="s">
        <v>11277</v>
      </c>
      <c r="V840" t="s">
        <v>11278</v>
      </c>
      <c r="W840" t="s">
        <v>11279</v>
      </c>
      <c r="X840" t="s">
        <v>11280</v>
      </c>
      <c r="Y840" t="s">
        <v>11281</v>
      </c>
      <c r="Z840" t="s">
        <v>74</v>
      </c>
      <c r="AA840" t="s">
        <v>11282</v>
      </c>
      <c r="AB840" t="s">
        <v>74</v>
      </c>
      <c r="AC840" t="s">
        <v>74</v>
      </c>
      <c r="AD840" t="s">
        <v>74</v>
      </c>
      <c r="AE840" t="s">
        <v>74</v>
      </c>
      <c r="AF840" t="s">
        <v>74</v>
      </c>
      <c r="AG840">
        <v>40</v>
      </c>
      <c r="AH840">
        <v>34</v>
      </c>
      <c r="AI840">
        <v>39</v>
      </c>
      <c r="AJ840">
        <v>0</v>
      </c>
      <c r="AK840">
        <v>10</v>
      </c>
      <c r="AL840" t="s">
        <v>8825</v>
      </c>
      <c r="AM840" t="s">
        <v>8559</v>
      </c>
      <c r="AN840" t="s">
        <v>11283</v>
      </c>
      <c r="AO840" t="s">
        <v>8828</v>
      </c>
      <c r="AP840" t="s">
        <v>74</v>
      </c>
      <c r="AQ840" t="s">
        <v>74</v>
      </c>
      <c r="AR840" t="s">
        <v>8830</v>
      </c>
      <c r="AS840" t="s">
        <v>8831</v>
      </c>
      <c r="AT840" t="s">
        <v>11284</v>
      </c>
      <c r="AU840">
        <v>2001</v>
      </c>
      <c r="AV840">
        <v>7</v>
      </c>
      <c r="AW840">
        <v>3</v>
      </c>
      <c r="AX840" t="s">
        <v>74</v>
      </c>
      <c r="AY840" t="s">
        <v>74</v>
      </c>
      <c r="AZ840" t="s">
        <v>74</v>
      </c>
      <c r="BA840" t="s">
        <v>74</v>
      </c>
      <c r="BB840">
        <v>585</v>
      </c>
      <c r="BC840">
        <v>590</v>
      </c>
      <c r="BD840" t="s">
        <v>74</v>
      </c>
      <c r="BE840" t="s">
        <v>11285</v>
      </c>
      <c r="BF840" t="str">
        <f>HYPERLINK("http://dx.doi.org/10.1002/1521-3765(20010202)7:3&lt;585::AID-CHEM585&gt;3.0.CO;2-6","http://dx.doi.org/10.1002/1521-3765(20010202)7:3&lt;585::AID-CHEM585&gt;3.0.CO;2-6")</f>
        <v>http://dx.doi.org/10.1002/1521-3765(20010202)7:3&lt;585::AID-CHEM585&gt;3.0.CO;2-6</v>
      </c>
      <c r="BG840" t="s">
        <v>74</v>
      </c>
      <c r="BH840" t="s">
        <v>74</v>
      </c>
      <c r="BI840">
        <v>6</v>
      </c>
      <c r="BJ840" t="s">
        <v>1761</v>
      </c>
      <c r="BK840" t="s">
        <v>11286</v>
      </c>
      <c r="BL840" t="s">
        <v>517</v>
      </c>
      <c r="BM840" t="s">
        <v>11287</v>
      </c>
      <c r="BN840">
        <v>11261655</v>
      </c>
      <c r="BO840" t="s">
        <v>74</v>
      </c>
      <c r="BP840" t="s">
        <v>74</v>
      </c>
      <c r="BQ840" t="s">
        <v>74</v>
      </c>
      <c r="BR840" t="s">
        <v>91</v>
      </c>
      <c r="BS840" t="s">
        <v>11288</v>
      </c>
      <c r="BT840" t="str">
        <f>HYPERLINK("https%3A%2F%2Fwww.webofscience.com%2Fwos%2Fwoscc%2Ffull-record%2FWOS:000166916000004","View Full Record in Web of Science")</f>
        <v>View Full Record in Web of Science</v>
      </c>
    </row>
    <row r="841" spans="1:72" x14ac:dyDescent="0.15">
      <c r="A841" t="s">
        <v>72</v>
      </c>
      <c r="B841" t="s">
        <v>11289</v>
      </c>
      <c r="C841" t="s">
        <v>74</v>
      </c>
      <c r="D841" t="s">
        <v>74</v>
      </c>
      <c r="E841" t="s">
        <v>74</v>
      </c>
      <c r="F841" t="s">
        <v>11289</v>
      </c>
      <c r="G841" t="s">
        <v>74</v>
      </c>
      <c r="H841" t="s">
        <v>74</v>
      </c>
      <c r="I841" t="s">
        <v>11290</v>
      </c>
      <c r="J841" t="s">
        <v>1867</v>
      </c>
      <c r="K841" t="s">
        <v>74</v>
      </c>
      <c r="L841" t="s">
        <v>74</v>
      </c>
      <c r="M841" t="s">
        <v>77</v>
      </c>
      <c r="N841" t="s">
        <v>120</v>
      </c>
      <c r="O841" t="s">
        <v>74</v>
      </c>
      <c r="P841" t="s">
        <v>74</v>
      </c>
      <c r="Q841" t="s">
        <v>74</v>
      </c>
      <c r="R841" t="s">
        <v>74</v>
      </c>
      <c r="S841" t="s">
        <v>74</v>
      </c>
      <c r="T841" t="s">
        <v>74</v>
      </c>
      <c r="U841" t="s">
        <v>11291</v>
      </c>
      <c r="V841" t="s">
        <v>11292</v>
      </c>
      <c r="W841" t="s">
        <v>11293</v>
      </c>
      <c r="X841" t="s">
        <v>11294</v>
      </c>
      <c r="Y841" t="s">
        <v>11295</v>
      </c>
      <c r="Z841" t="s">
        <v>11296</v>
      </c>
      <c r="AA841" t="s">
        <v>11297</v>
      </c>
      <c r="AB841" t="s">
        <v>11298</v>
      </c>
      <c r="AC841" t="s">
        <v>74</v>
      </c>
      <c r="AD841" t="s">
        <v>74</v>
      </c>
      <c r="AE841" t="s">
        <v>74</v>
      </c>
      <c r="AF841" t="s">
        <v>74</v>
      </c>
      <c r="AG841">
        <v>30</v>
      </c>
      <c r="AH841">
        <v>162</v>
      </c>
      <c r="AI841">
        <v>182</v>
      </c>
      <c r="AJ841">
        <v>4</v>
      </c>
      <c r="AK841">
        <v>36</v>
      </c>
      <c r="AL841" t="s">
        <v>1872</v>
      </c>
      <c r="AM841" t="s">
        <v>150</v>
      </c>
      <c r="AN841" t="s">
        <v>1873</v>
      </c>
      <c r="AO841" t="s">
        <v>1874</v>
      </c>
      <c r="AP841" t="s">
        <v>3175</v>
      </c>
      <c r="AQ841" t="s">
        <v>74</v>
      </c>
      <c r="AR841" t="s">
        <v>1867</v>
      </c>
      <c r="AS841" t="s">
        <v>1875</v>
      </c>
      <c r="AT841" t="s">
        <v>11284</v>
      </c>
      <c r="AU841">
        <v>2001</v>
      </c>
      <c r="AV841">
        <v>291</v>
      </c>
      <c r="AW841">
        <v>5505</v>
      </c>
      <c r="AX841" t="s">
        <v>74</v>
      </c>
      <c r="AY841" t="s">
        <v>74</v>
      </c>
      <c r="AZ841" t="s">
        <v>74</v>
      </c>
      <c r="BA841" t="s">
        <v>74</v>
      </c>
      <c r="BB841">
        <v>862</v>
      </c>
      <c r="BC841">
        <v>864</v>
      </c>
      <c r="BD841" t="s">
        <v>74</v>
      </c>
      <c r="BE841" t="s">
        <v>11299</v>
      </c>
      <c r="BF841" t="str">
        <f>HYPERLINK("http://dx.doi.org/10.1126/science.291.5505.862","http://dx.doi.org/10.1126/science.291.5505.862")</f>
        <v>http://dx.doi.org/10.1126/science.291.5505.862</v>
      </c>
      <c r="BG841" t="s">
        <v>74</v>
      </c>
      <c r="BH841" t="s">
        <v>74</v>
      </c>
      <c r="BI841">
        <v>3</v>
      </c>
      <c r="BJ841" t="s">
        <v>575</v>
      </c>
      <c r="BK841" t="s">
        <v>88</v>
      </c>
      <c r="BL841" t="s">
        <v>576</v>
      </c>
      <c r="BM841" t="s">
        <v>11300</v>
      </c>
      <c r="BN841">
        <v>11157163</v>
      </c>
      <c r="BO841" t="s">
        <v>74</v>
      </c>
      <c r="BP841" t="s">
        <v>74</v>
      </c>
      <c r="BQ841" t="s">
        <v>74</v>
      </c>
      <c r="BR841" t="s">
        <v>91</v>
      </c>
      <c r="BS841" t="s">
        <v>11301</v>
      </c>
      <c r="BT841" t="str">
        <f>HYPERLINK("https%3A%2F%2Fwww.webofscience.com%2Fwos%2Fwoscc%2Ffull-record%2FWOS:000166771700041","View Full Record in Web of Science")</f>
        <v>View Full Record in Web of Science</v>
      </c>
    </row>
    <row r="842" spans="1:72" x14ac:dyDescent="0.15">
      <c r="A842" t="s">
        <v>72</v>
      </c>
      <c r="B842" t="s">
        <v>11302</v>
      </c>
      <c r="C842" t="s">
        <v>74</v>
      </c>
      <c r="D842" t="s">
        <v>74</v>
      </c>
      <c r="E842" t="s">
        <v>74</v>
      </c>
      <c r="F842" t="s">
        <v>11302</v>
      </c>
      <c r="G842" t="s">
        <v>74</v>
      </c>
      <c r="H842" t="s">
        <v>74</v>
      </c>
      <c r="I842" t="s">
        <v>11303</v>
      </c>
      <c r="J842" t="s">
        <v>11304</v>
      </c>
      <c r="K842" t="s">
        <v>74</v>
      </c>
      <c r="L842" t="s">
        <v>74</v>
      </c>
      <c r="M842" t="s">
        <v>77</v>
      </c>
      <c r="N842" t="s">
        <v>414</v>
      </c>
      <c r="O842" t="s">
        <v>74</v>
      </c>
      <c r="P842" t="s">
        <v>74</v>
      </c>
      <c r="Q842" t="s">
        <v>74</v>
      </c>
      <c r="R842" t="s">
        <v>74</v>
      </c>
      <c r="S842" t="s">
        <v>74</v>
      </c>
      <c r="T842" t="s">
        <v>74</v>
      </c>
      <c r="U842" t="s">
        <v>74</v>
      </c>
      <c r="V842" t="s">
        <v>74</v>
      </c>
      <c r="W842" t="s">
        <v>11305</v>
      </c>
      <c r="X842" t="s">
        <v>11306</v>
      </c>
      <c r="Y842" t="s">
        <v>11307</v>
      </c>
      <c r="Z842" t="s">
        <v>11308</v>
      </c>
      <c r="AA842" t="s">
        <v>11309</v>
      </c>
      <c r="AB842" t="s">
        <v>74</v>
      </c>
      <c r="AC842" t="s">
        <v>74</v>
      </c>
      <c r="AD842" t="s">
        <v>74</v>
      </c>
      <c r="AE842" t="s">
        <v>74</v>
      </c>
      <c r="AF842" t="s">
        <v>74</v>
      </c>
      <c r="AG842">
        <v>10</v>
      </c>
      <c r="AH842">
        <v>2</v>
      </c>
      <c r="AI842">
        <v>2</v>
      </c>
      <c r="AJ842">
        <v>1</v>
      </c>
      <c r="AK842">
        <v>6</v>
      </c>
      <c r="AL842" t="s">
        <v>11310</v>
      </c>
      <c r="AM842" t="s">
        <v>11311</v>
      </c>
      <c r="AN842" t="s">
        <v>11312</v>
      </c>
      <c r="AO842" t="s">
        <v>11313</v>
      </c>
      <c r="AP842" t="s">
        <v>74</v>
      </c>
      <c r="AQ842" t="s">
        <v>74</v>
      </c>
      <c r="AR842" t="s">
        <v>11314</v>
      </c>
      <c r="AS842" t="s">
        <v>11315</v>
      </c>
      <c r="AT842" t="s">
        <v>11316</v>
      </c>
      <c r="AU842">
        <v>2001</v>
      </c>
      <c r="AV842">
        <v>41</v>
      </c>
      <c r="AW842">
        <v>1</v>
      </c>
      <c r="AX842" t="s">
        <v>74</v>
      </c>
      <c r="AY842" t="s">
        <v>74</v>
      </c>
      <c r="AZ842" t="s">
        <v>74</v>
      </c>
      <c r="BA842" t="s">
        <v>74</v>
      </c>
      <c r="BB842">
        <v>1</v>
      </c>
      <c r="BC842">
        <v>2</v>
      </c>
      <c r="BD842" t="s">
        <v>74</v>
      </c>
      <c r="BE842" t="s">
        <v>11317</v>
      </c>
      <c r="BF842" t="str">
        <f>HYPERLINK("http://dx.doi.org/10.1668/0003-1569(2001)041[0001:ITTSAM]2.0.CO;2","http://dx.doi.org/10.1668/0003-1569(2001)041[0001:ITTSAM]2.0.CO;2")</f>
        <v>http://dx.doi.org/10.1668/0003-1569(2001)041[0001:ITTSAM]2.0.CO;2</v>
      </c>
      <c r="BG842" t="s">
        <v>74</v>
      </c>
      <c r="BH842" t="s">
        <v>74</v>
      </c>
      <c r="BI842">
        <v>2</v>
      </c>
      <c r="BJ842" t="s">
        <v>408</v>
      </c>
      <c r="BK842" t="s">
        <v>88</v>
      </c>
      <c r="BL842" t="s">
        <v>408</v>
      </c>
      <c r="BM842" t="s">
        <v>11318</v>
      </c>
      <c r="BN842" t="s">
        <v>74</v>
      </c>
      <c r="BO842" t="s">
        <v>74</v>
      </c>
      <c r="BP842" t="s">
        <v>74</v>
      </c>
      <c r="BQ842" t="s">
        <v>74</v>
      </c>
      <c r="BR842" t="s">
        <v>91</v>
      </c>
      <c r="BS842" t="s">
        <v>11319</v>
      </c>
      <c r="BT842" t="str">
        <f>HYPERLINK("https%3A%2F%2Fwww.webofscience.com%2Fwos%2Fwoscc%2Ffull-record%2FWOS:000172505600001","View Full Record in Web of Science")</f>
        <v>View Full Record in Web of Science</v>
      </c>
    </row>
    <row r="843" spans="1:72" x14ac:dyDescent="0.15">
      <c r="A843" t="s">
        <v>72</v>
      </c>
      <c r="B843" t="s">
        <v>11320</v>
      </c>
      <c r="C843" t="s">
        <v>74</v>
      </c>
      <c r="D843" t="s">
        <v>74</v>
      </c>
      <c r="E843" t="s">
        <v>74</v>
      </c>
      <c r="F843" t="s">
        <v>11320</v>
      </c>
      <c r="G843" t="s">
        <v>74</v>
      </c>
      <c r="H843" t="s">
        <v>74</v>
      </c>
      <c r="I843" t="s">
        <v>11321</v>
      </c>
      <c r="J843" t="s">
        <v>11304</v>
      </c>
      <c r="K843" t="s">
        <v>74</v>
      </c>
      <c r="L843" t="s">
        <v>74</v>
      </c>
      <c r="M843" t="s">
        <v>77</v>
      </c>
      <c r="N843" t="s">
        <v>435</v>
      </c>
      <c r="O843" t="s">
        <v>11322</v>
      </c>
      <c r="P843" t="s">
        <v>11323</v>
      </c>
      <c r="Q843" t="s">
        <v>11324</v>
      </c>
      <c r="R843" t="s">
        <v>74</v>
      </c>
      <c r="S843" t="s">
        <v>74</v>
      </c>
      <c r="T843" t="s">
        <v>74</v>
      </c>
      <c r="U843" t="s">
        <v>11325</v>
      </c>
      <c r="V843" t="s">
        <v>11326</v>
      </c>
      <c r="W843" t="s">
        <v>11327</v>
      </c>
      <c r="X843" t="s">
        <v>11328</v>
      </c>
      <c r="Y843" t="s">
        <v>11329</v>
      </c>
      <c r="Z843" t="s">
        <v>11330</v>
      </c>
      <c r="AA843" t="s">
        <v>74</v>
      </c>
      <c r="AB843" t="s">
        <v>74</v>
      </c>
      <c r="AC843" t="s">
        <v>74</v>
      </c>
      <c r="AD843" t="s">
        <v>74</v>
      </c>
      <c r="AE843" t="s">
        <v>74</v>
      </c>
      <c r="AF843" t="s">
        <v>74</v>
      </c>
      <c r="AG843">
        <v>89</v>
      </c>
      <c r="AH843">
        <v>51</v>
      </c>
      <c r="AI843">
        <v>59</v>
      </c>
      <c r="AJ843">
        <v>0</v>
      </c>
      <c r="AK843">
        <v>26</v>
      </c>
      <c r="AL843" t="s">
        <v>11310</v>
      </c>
      <c r="AM843" t="s">
        <v>11311</v>
      </c>
      <c r="AN843" t="s">
        <v>11312</v>
      </c>
      <c r="AO843" t="s">
        <v>11313</v>
      </c>
      <c r="AP843" t="s">
        <v>74</v>
      </c>
      <c r="AQ843" t="s">
        <v>74</v>
      </c>
      <c r="AR843" t="s">
        <v>11314</v>
      </c>
      <c r="AS843" t="s">
        <v>11315</v>
      </c>
      <c r="AT843" t="s">
        <v>11316</v>
      </c>
      <c r="AU843">
        <v>2001</v>
      </c>
      <c r="AV843">
        <v>41</v>
      </c>
      <c r="AW843">
        <v>1</v>
      </c>
      <c r="AX843" t="s">
        <v>74</v>
      </c>
      <c r="AY843" t="s">
        <v>74</v>
      </c>
      <c r="AZ843" t="s">
        <v>74</v>
      </c>
      <c r="BA843" t="s">
        <v>74</v>
      </c>
      <c r="BB843">
        <v>3</v>
      </c>
      <c r="BC843">
        <v>16</v>
      </c>
      <c r="BD843" t="s">
        <v>74</v>
      </c>
      <c r="BE843" t="s">
        <v>11331</v>
      </c>
      <c r="BF843" t="str">
        <f>HYPERLINK("http://dx.doi.org/10.1668/0003-1569(2001)041[0003:IOORII]2.0.CO;2","http://dx.doi.org/10.1668/0003-1569(2001)041[0003:IOORII]2.0.CO;2")</f>
        <v>http://dx.doi.org/10.1668/0003-1569(2001)041[0003:IOORII]2.0.CO;2</v>
      </c>
      <c r="BG843" t="s">
        <v>74</v>
      </c>
      <c r="BH843" t="s">
        <v>74</v>
      </c>
      <c r="BI843">
        <v>14</v>
      </c>
      <c r="BJ843" t="s">
        <v>408</v>
      </c>
      <c r="BK843" t="s">
        <v>816</v>
      </c>
      <c r="BL843" t="s">
        <v>408</v>
      </c>
      <c r="BM843" t="s">
        <v>11318</v>
      </c>
      <c r="BN843" t="s">
        <v>74</v>
      </c>
      <c r="BO843" t="s">
        <v>74</v>
      </c>
      <c r="BP843" t="s">
        <v>74</v>
      </c>
      <c r="BQ843" t="s">
        <v>74</v>
      </c>
      <c r="BR843" t="s">
        <v>91</v>
      </c>
      <c r="BS843" t="s">
        <v>11332</v>
      </c>
      <c r="BT843" t="str">
        <f>HYPERLINK("https%3A%2F%2Fwww.webofscience.com%2Fwos%2Fwoscc%2Ffull-record%2FWOS:000172505600002","View Full Record in Web of Science")</f>
        <v>View Full Record in Web of Science</v>
      </c>
    </row>
    <row r="844" spans="1:72" x14ac:dyDescent="0.15">
      <c r="A844" t="s">
        <v>72</v>
      </c>
      <c r="B844" t="s">
        <v>11333</v>
      </c>
      <c r="C844" t="s">
        <v>74</v>
      </c>
      <c r="D844" t="s">
        <v>74</v>
      </c>
      <c r="E844" t="s">
        <v>74</v>
      </c>
      <c r="F844" t="s">
        <v>11333</v>
      </c>
      <c r="G844" t="s">
        <v>74</v>
      </c>
      <c r="H844" t="s">
        <v>74</v>
      </c>
      <c r="I844" t="s">
        <v>11334</v>
      </c>
      <c r="J844" t="s">
        <v>11304</v>
      </c>
      <c r="K844" t="s">
        <v>74</v>
      </c>
      <c r="L844" t="s">
        <v>74</v>
      </c>
      <c r="M844" t="s">
        <v>77</v>
      </c>
      <c r="N844" t="s">
        <v>435</v>
      </c>
      <c r="O844" t="s">
        <v>11322</v>
      </c>
      <c r="P844" t="s">
        <v>11323</v>
      </c>
      <c r="Q844" t="s">
        <v>11324</v>
      </c>
      <c r="R844" t="s">
        <v>74</v>
      </c>
      <c r="S844" t="s">
        <v>74</v>
      </c>
      <c r="T844" t="s">
        <v>74</v>
      </c>
      <c r="U844" t="s">
        <v>11335</v>
      </c>
      <c r="V844" t="s">
        <v>11336</v>
      </c>
      <c r="W844" t="s">
        <v>11337</v>
      </c>
      <c r="X844" t="s">
        <v>11338</v>
      </c>
      <c r="Y844" t="s">
        <v>11339</v>
      </c>
      <c r="Z844" t="s">
        <v>11340</v>
      </c>
      <c r="AA844" t="s">
        <v>11309</v>
      </c>
      <c r="AB844" t="s">
        <v>11341</v>
      </c>
      <c r="AC844" t="s">
        <v>74</v>
      </c>
      <c r="AD844" t="s">
        <v>74</v>
      </c>
      <c r="AE844" t="s">
        <v>74</v>
      </c>
      <c r="AF844" t="s">
        <v>74</v>
      </c>
      <c r="AG844">
        <v>65</v>
      </c>
      <c r="AH844">
        <v>46</v>
      </c>
      <c r="AI844">
        <v>57</v>
      </c>
      <c r="AJ844">
        <v>1</v>
      </c>
      <c r="AK844">
        <v>18</v>
      </c>
      <c r="AL844" t="s">
        <v>11310</v>
      </c>
      <c r="AM844" t="s">
        <v>11311</v>
      </c>
      <c r="AN844" t="s">
        <v>11312</v>
      </c>
      <c r="AO844" t="s">
        <v>11313</v>
      </c>
      <c r="AP844" t="s">
        <v>74</v>
      </c>
      <c r="AQ844" t="s">
        <v>74</v>
      </c>
      <c r="AR844" t="s">
        <v>11314</v>
      </c>
      <c r="AS844" t="s">
        <v>11315</v>
      </c>
      <c r="AT844" t="s">
        <v>11316</v>
      </c>
      <c r="AU844">
        <v>2001</v>
      </c>
      <c r="AV844">
        <v>41</v>
      </c>
      <c r="AW844">
        <v>1</v>
      </c>
      <c r="AX844" t="s">
        <v>74</v>
      </c>
      <c r="AY844" t="s">
        <v>74</v>
      </c>
      <c r="AZ844" t="s">
        <v>74</v>
      </c>
      <c r="BA844" t="s">
        <v>74</v>
      </c>
      <c r="BB844">
        <v>17</v>
      </c>
      <c r="BC844">
        <v>26</v>
      </c>
      <c r="BD844" t="s">
        <v>74</v>
      </c>
      <c r="BE844" t="s">
        <v>11342</v>
      </c>
      <c r="BF844" t="str">
        <f>HYPERLINK("http://dx.doi.org/10.1668/0003-1569(2001)041[0017:SMAMOT]2.0.CO;2","http://dx.doi.org/10.1668/0003-1569(2001)041[0017:SMAMOT]2.0.CO;2")</f>
        <v>http://dx.doi.org/10.1668/0003-1569(2001)041[0017:SMAMOT]2.0.CO;2</v>
      </c>
      <c r="BG844" t="s">
        <v>74</v>
      </c>
      <c r="BH844" t="s">
        <v>74</v>
      </c>
      <c r="BI844">
        <v>10</v>
      </c>
      <c r="BJ844" t="s">
        <v>408</v>
      </c>
      <c r="BK844" t="s">
        <v>816</v>
      </c>
      <c r="BL844" t="s">
        <v>408</v>
      </c>
      <c r="BM844" t="s">
        <v>11318</v>
      </c>
      <c r="BN844" t="s">
        <v>74</v>
      </c>
      <c r="BO844" t="s">
        <v>74</v>
      </c>
      <c r="BP844" t="s">
        <v>74</v>
      </c>
      <c r="BQ844" t="s">
        <v>74</v>
      </c>
      <c r="BR844" t="s">
        <v>91</v>
      </c>
      <c r="BS844" t="s">
        <v>11343</v>
      </c>
      <c r="BT844" t="str">
        <f>HYPERLINK("https%3A%2F%2Fwww.webofscience.com%2Fwos%2Fwoscc%2Ffull-record%2FWOS:000172505600003","View Full Record in Web of Science")</f>
        <v>View Full Record in Web of Science</v>
      </c>
    </row>
    <row r="845" spans="1:72" x14ac:dyDescent="0.15">
      <c r="A845" t="s">
        <v>72</v>
      </c>
      <c r="B845" t="s">
        <v>11344</v>
      </c>
      <c r="C845" t="s">
        <v>74</v>
      </c>
      <c r="D845" t="s">
        <v>74</v>
      </c>
      <c r="E845" t="s">
        <v>74</v>
      </c>
      <c r="F845" t="s">
        <v>11344</v>
      </c>
      <c r="G845" t="s">
        <v>74</v>
      </c>
      <c r="H845" t="s">
        <v>74</v>
      </c>
      <c r="I845" t="s">
        <v>11345</v>
      </c>
      <c r="J845" t="s">
        <v>11304</v>
      </c>
      <c r="K845" t="s">
        <v>74</v>
      </c>
      <c r="L845" t="s">
        <v>74</v>
      </c>
      <c r="M845" t="s">
        <v>77</v>
      </c>
      <c r="N845" t="s">
        <v>435</v>
      </c>
      <c r="O845" t="s">
        <v>11322</v>
      </c>
      <c r="P845" t="s">
        <v>11323</v>
      </c>
      <c r="Q845" t="s">
        <v>11324</v>
      </c>
      <c r="R845" t="s">
        <v>74</v>
      </c>
      <c r="S845" t="s">
        <v>74</v>
      </c>
      <c r="T845" t="s">
        <v>74</v>
      </c>
      <c r="U845" t="s">
        <v>11346</v>
      </c>
      <c r="V845" t="s">
        <v>11347</v>
      </c>
      <c r="W845" t="s">
        <v>11348</v>
      </c>
      <c r="X845" t="s">
        <v>11349</v>
      </c>
      <c r="Y845" t="s">
        <v>11350</v>
      </c>
      <c r="Z845" t="s">
        <v>11351</v>
      </c>
      <c r="AA845" t="s">
        <v>74</v>
      </c>
      <c r="AB845" t="s">
        <v>11352</v>
      </c>
      <c r="AC845" t="s">
        <v>74</v>
      </c>
      <c r="AD845" t="s">
        <v>74</v>
      </c>
      <c r="AE845" t="s">
        <v>74</v>
      </c>
      <c r="AF845" t="s">
        <v>74</v>
      </c>
      <c r="AG845">
        <v>128</v>
      </c>
      <c r="AH845">
        <v>115</v>
      </c>
      <c r="AI845">
        <v>125</v>
      </c>
      <c r="AJ845">
        <v>0</v>
      </c>
      <c r="AK845">
        <v>36</v>
      </c>
      <c r="AL845" t="s">
        <v>11310</v>
      </c>
      <c r="AM845" t="s">
        <v>11311</v>
      </c>
      <c r="AN845" t="s">
        <v>11312</v>
      </c>
      <c r="AO845" t="s">
        <v>11313</v>
      </c>
      <c r="AP845" t="s">
        <v>74</v>
      </c>
      <c r="AQ845" t="s">
        <v>74</v>
      </c>
      <c r="AR845" t="s">
        <v>11314</v>
      </c>
      <c r="AS845" t="s">
        <v>11315</v>
      </c>
      <c r="AT845" t="s">
        <v>11316</v>
      </c>
      <c r="AU845">
        <v>2001</v>
      </c>
      <c r="AV845">
        <v>41</v>
      </c>
      <c r="AW845">
        <v>1</v>
      </c>
      <c r="AX845" t="s">
        <v>74</v>
      </c>
      <c r="AY845" t="s">
        <v>74</v>
      </c>
      <c r="AZ845" t="s">
        <v>74</v>
      </c>
      <c r="BA845" t="s">
        <v>74</v>
      </c>
      <c r="BB845">
        <v>27</v>
      </c>
      <c r="BC845">
        <v>39</v>
      </c>
      <c r="BD845" t="s">
        <v>74</v>
      </c>
      <c r="BE845" t="s">
        <v>11353</v>
      </c>
      <c r="BF845" t="str">
        <f>HYPERLINK("http://dx.doi.org/10.1668/0003-1569(2001)041[0027:GCCATO]2.0.CO;2","http://dx.doi.org/10.1668/0003-1569(2001)041[0027:GCCATO]2.0.CO;2")</f>
        <v>http://dx.doi.org/10.1668/0003-1569(2001)041[0027:GCCATO]2.0.CO;2</v>
      </c>
      <c r="BG845" t="s">
        <v>74</v>
      </c>
      <c r="BH845" t="s">
        <v>74</v>
      </c>
      <c r="BI845">
        <v>13</v>
      </c>
      <c r="BJ845" t="s">
        <v>408</v>
      </c>
      <c r="BK845" t="s">
        <v>816</v>
      </c>
      <c r="BL845" t="s">
        <v>408</v>
      </c>
      <c r="BM845" t="s">
        <v>11318</v>
      </c>
      <c r="BN845" t="s">
        <v>74</v>
      </c>
      <c r="BO845" t="s">
        <v>1685</v>
      </c>
      <c r="BP845" t="s">
        <v>74</v>
      </c>
      <c r="BQ845" t="s">
        <v>74</v>
      </c>
      <c r="BR845" t="s">
        <v>91</v>
      </c>
      <c r="BS845" t="s">
        <v>11354</v>
      </c>
      <c r="BT845" t="str">
        <f>HYPERLINK("https%3A%2F%2Fwww.webofscience.com%2Fwos%2Fwoscc%2Ffull-record%2FWOS:000172505600004","View Full Record in Web of Science")</f>
        <v>View Full Record in Web of Science</v>
      </c>
    </row>
    <row r="846" spans="1:72" x14ac:dyDescent="0.15">
      <c r="A846" t="s">
        <v>72</v>
      </c>
      <c r="B846" t="s">
        <v>11355</v>
      </c>
      <c r="C846" t="s">
        <v>74</v>
      </c>
      <c r="D846" t="s">
        <v>74</v>
      </c>
      <c r="E846" t="s">
        <v>74</v>
      </c>
      <c r="F846" t="s">
        <v>11355</v>
      </c>
      <c r="G846" t="s">
        <v>74</v>
      </c>
      <c r="H846" t="s">
        <v>74</v>
      </c>
      <c r="I846" t="s">
        <v>11356</v>
      </c>
      <c r="J846" t="s">
        <v>11304</v>
      </c>
      <c r="K846" t="s">
        <v>74</v>
      </c>
      <c r="L846" t="s">
        <v>74</v>
      </c>
      <c r="M846" t="s">
        <v>77</v>
      </c>
      <c r="N846" t="s">
        <v>435</v>
      </c>
      <c r="O846" t="s">
        <v>11357</v>
      </c>
      <c r="P846" t="s">
        <v>11323</v>
      </c>
      <c r="Q846" t="s">
        <v>11358</v>
      </c>
      <c r="R846" t="s">
        <v>74</v>
      </c>
      <c r="S846" t="s">
        <v>74</v>
      </c>
      <c r="T846" t="s">
        <v>74</v>
      </c>
      <c r="U846" t="s">
        <v>11359</v>
      </c>
      <c r="V846" t="s">
        <v>11360</v>
      </c>
      <c r="W846" t="s">
        <v>11361</v>
      </c>
      <c r="X846" t="s">
        <v>11362</v>
      </c>
      <c r="Y846" t="s">
        <v>11363</v>
      </c>
      <c r="Z846" t="s">
        <v>74</v>
      </c>
      <c r="AA846" t="s">
        <v>74</v>
      </c>
      <c r="AB846" t="s">
        <v>11364</v>
      </c>
      <c r="AC846" t="s">
        <v>74</v>
      </c>
      <c r="AD846" t="s">
        <v>74</v>
      </c>
      <c r="AE846" t="s">
        <v>74</v>
      </c>
      <c r="AF846" t="s">
        <v>74</v>
      </c>
      <c r="AG846">
        <v>73</v>
      </c>
      <c r="AH846">
        <v>42</v>
      </c>
      <c r="AI846">
        <v>47</v>
      </c>
      <c r="AJ846">
        <v>0</v>
      </c>
      <c r="AK846">
        <v>11</v>
      </c>
      <c r="AL846" t="s">
        <v>11310</v>
      </c>
      <c r="AM846" t="s">
        <v>11311</v>
      </c>
      <c r="AN846" t="s">
        <v>11312</v>
      </c>
      <c r="AO846" t="s">
        <v>11313</v>
      </c>
      <c r="AP846" t="s">
        <v>74</v>
      </c>
      <c r="AQ846" t="s">
        <v>74</v>
      </c>
      <c r="AR846" t="s">
        <v>11314</v>
      </c>
      <c r="AS846" t="s">
        <v>11315</v>
      </c>
      <c r="AT846" t="s">
        <v>11316</v>
      </c>
      <c r="AU846">
        <v>2001</v>
      </c>
      <c r="AV846">
        <v>41</v>
      </c>
      <c r="AW846">
        <v>1</v>
      </c>
      <c r="AX846" t="s">
        <v>74</v>
      </c>
      <c r="AY846" t="s">
        <v>74</v>
      </c>
      <c r="AZ846" t="s">
        <v>74</v>
      </c>
      <c r="BA846" t="s">
        <v>74</v>
      </c>
      <c r="BB846">
        <v>40</v>
      </c>
      <c r="BC846">
        <v>56</v>
      </c>
      <c r="BD846" t="s">
        <v>74</v>
      </c>
      <c r="BE846" t="s">
        <v>11365</v>
      </c>
      <c r="BF846" t="str">
        <f>HYPERLINK("http://dx.doi.org/10.1668/0003-1569(2001)041[0040:VOPPIA]2.0.CO;2","http://dx.doi.org/10.1668/0003-1569(2001)041[0040:VOPPIA]2.0.CO;2")</f>
        <v>http://dx.doi.org/10.1668/0003-1569(2001)041[0040:VOPPIA]2.0.CO;2</v>
      </c>
      <c r="BG846" t="s">
        <v>74</v>
      </c>
      <c r="BH846" t="s">
        <v>74</v>
      </c>
      <c r="BI846">
        <v>17</v>
      </c>
      <c r="BJ846" t="s">
        <v>408</v>
      </c>
      <c r="BK846" t="s">
        <v>453</v>
      </c>
      <c r="BL846" t="s">
        <v>408</v>
      </c>
      <c r="BM846" t="s">
        <v>11318</v>
      </c>
      <c r="BN846" t="s">
        <v>74</v>
      </c>
      <c r="BO846" t="s">
        <v>74</v>
      </c>
      <c r="BP846" t="s">
        <v>74</v>
      </c>
      <c r="BQ846" t="s">
        <v>74</v>
      </c>
      <c r="BR846" t="s">
        <v>91</v>
      </c>
      <c r="BS846" t="s">
        <v>11366</v>
      </c>
      <c r="BT846" t="str">
        <f>HYPERLINK("https%3A%2F%2Fwww.webofscience.com%2Fwos%2Fwoscc%2Ffull-record%2FWOS:000172505600005","View Full Record in Web of Science")</f>
        <v>View Full Record in Web of Science</v>
      </c>
    </row>
    <row r="847" spans="1:72" x14ac:dyDescent="0.15">
      <c r="A847" t="s">
        <v>72</v>
      </c>
      <c r="B847" t="s">
        <v>11367</v>
      </c>
      <c r="C847" t="s">
        <v>74</v>
      </c>
      <c r="D847" t="s">
        <v>74</v>
      </c>
      <c r="E847" t="s">
        <v>74</v>
      </c>
      <c r="F847" t="s">
        <v>11367</v>
      </c>
      <c r="G847" t="s">
        <v>74</v>
      </c>
      <c r="H847" t="s">
        <v>74</v>
      </c>
      <c r="I847" t="s">
        <v>11368</v>
      </c>
      <c r="J847" t="s">
        <v>11304</v>
      </c>
      <c r="K847" t="s">
        <v>74</v>
      </c>
      <c r="L847" t="s">
        <v>74</v>
      </c>
      <c r="M847" t="s">
        <v>77</v>
      </c>
      <c r="N847" t="s">
        <v>435</v>
      </c>
      <c r="O847" t="s">
        <v>11322</v>
      </c>
      <c r="P847" t="s">
        <v>11323</v>
      </c>
      <c r="Q847" t="s">
        <v>11324</v>
      </c>
      <c r="R847" t="s">
        <v>74</v>
      </c>
      <c r="S847" t="s">
        <v>74</v>
      </c>
      <c r="T847" t="s">
        <v>74</v>
      </c>
      <c r="U847" t="s">
        <v>11369</v>
      </c>
      <c r="V847" t="s">
        <v>11370</v>
      </c>
      <c r="W847" t="s">
        <v>11371</v>
      </c>
      <c r="X847" t="s">
        <v>11372</v>
      </c>
      <c r="Y847" t="s">
        <v>11373</v>
      </c>
      <c r="Z847" t="s">
        <v>11374</v>
      </c>
      <c r="AA847" t="s">
        <v>74</v>
      </c>
      <c r="AB847" t="s">
        <v>74</v>
      </c>
      <c r="AC847" t="s">
        <v>74</v>
      </c>
      <c r="AD847" t="s">
        <v>74</v>
      </c>
      <c r="AE847" t="s">
        <v>74</v>
      </c>
      <c r="AF847" t="s">
        <v>74</v>
      </c>
      <c r="AG847">
        <v>132</v>
      </c>
      <c r="AH847">
        <v>236</v>
      </c>
      <c r="AI847">
        <v>273</v>
      </c>
      <c r="AJ847">
        <v>1</v>
      </c>
      <c r="AK847">
        <v>78</v>
      </c>
      <c r="AL847" t="s">
        <v>11310</v>
      </c>
      <c r="AM847" t="s">
        <v>11311</v>
      </c>
      <c r="AN847" t="s">
        <v>11312</v>
      </c>
      <c r="AO847" t="s">
        <v>11313</v>
      </c>
      <c r="AP847" t="s">
        <v>74</v>
      </c>
      <c r="AQ847" t="s">
        <v>74</v>
      </c>
      <c r="AR847" t="s">
        <v>11314</v>
      </c>
      <c r="AS847" t="s">
        <v>11315</v>
      </c>
      <c r="AT847" t="s">
        <v>11316</v>
      </c>
      <c r="AU847">
        <v>2001</v>
      </c>
      <c r="AV847">
        <v>41</v>
      </c>
      <c r="AW847">
        <v>1</v>
      </c>
      <c r="AX847" t="s">
        <v>74</v>
      </c>
      <c r="AY847" t="s">
        <v>74</v>
      </c>
      <c r="AZ847" t="s">
        <v>74</v>
      </c>
      <c r="BA847" t="s">
        <v>74</v>
      </c>
      <c r="BB847">
        <v>57</v>
      </c>
      <c r="BC847">
        <v>73</v>
      </c>
      <c r="BD847" t="s">
        <v>74</v>
      </c>
      <c r="BE847" t="s">
        <v>11375</v>
      </c>
      <c r="BF847" t="str">
        <f>HYPERLINK("http://dx.doi.org/10.1668/0003-1569(2001)041[0057:TCOSIA]2.0.CO;2","http://dx.doi.org/10.1668/0003-1569(2001)041[0057:TCOSIA]2.0.CO;2")</f>
        <v>http://dx.doi.org/10.1668/0003-1569(2001)041[0057:TCOSIA]2.0.CO;2</v>
      </c>
      <c r="BG847" t="s">
        <v>74</v>
      </c>
      <c r="BH847" t="s">
        <v>74</v>
      </c>
      <c r="BI847">
        <v>17</v>
      </c>
      <c r="BJ847" t="s">
        <v>408</v>
      </c>
      <c r="BK847" t="s">
        <v>816</v>
      </c>
      <c r="BL847" t="s">
        <v>408</v>
      </c>
      <c r="BM847" t="s">
        <v>11318</v>
      </c>
      <c r="BN847" t="s">
        <v>74</v>
      </c>
      <c r="BO847" t="s">
        <v>74</v>
      </c>
      <c r="BP847" t="s">
        <v>74</v>
      </c>
      <c r="BQ847" t="s">
        <v>74</v>
      </c>
      <c r="BR847" t="s">
        <v>91</v>
      </c>
      <c r="BS847" t="s">
        <v>11376</v>
      </c>
      <c r="BT847" t="str">
        <f>HYPERLINK("https%3A%2F%2Fwww.webofscience.com%2Fwos%2Fwoscc%2Ffull-record%2FWOS:000172505600006","View Full Record in Web of Science")</f>
        <v>View Full Record in Web of Science</v>
      </c>
    </row>
    <row r="848" spans="1:72" x14ac:dyDescent="0.15">
      <c r="A848" t="s">
        <v>72</v>
      </c>
      <c r="B848" t="s">
        <v>11377</v>
      </c>
      <c r="C848" t="s">
        <v>74</v>
      </c>
      <c r="D848" t="s">
        <v>74</v>
      </c>
      <c r="E848" t="s">
        <v>74</v>
      </c>
      <c r="F848" t="s">
        <v>11377</v>
      </c>
      <c r="G848" t="s">
        <v>74</v>
      </c>
      <c r="H848" t="s">
        <v>74</v>
      </c>
      <c r="I848" t="s">
        <v>11378</v>
      </c>
      <c r="J848" t="s">
        <v>11304</v>
      </c>
      <c r="K848" t="s">
        <v>74</v>
      </c>
      <c r="L848" t="s">
        <v>74</v>
      </c>
      <c r="M848" t="s">
        <v>77</v>
      </c>
      <c r="N848" t="s">
        <v>435</v>
      </c>
      <c r="O848" t="s">
        <v>11357</v>
      </c>
      <c r="P848" t="s">
        <v>11323</v>
      </c>
      <c r="Q848" t="s">
        <v>11358</v>
      </c>
      <c r="R848" t="s">
        <v>74</v>
      </c>
      <c r="S848" t="s">
        <v>74</v>
      </c>
      <c r="T848" t="s">
        <v>74</v>
      </c>
      <c r="U848" t="s">
        <v>11379</v>
      </c>
      <c r="V848" t="s">
        <v>11380</v>
      </c>
      <c r="W848" t="s">
        <v>11381</v>
      </c>
      <c r="X848" t="s">
        <v>11382</v>
      </c>
      <c r="Y848" t="s">
        <v>11383</v>
      </c>
      <c r="Z848" t="s">
        <v>74</v>
      </c>
      <c r="AA848" t="s">
        <v>74</v>
      </c>
      <c r="AB848" t="s">
        <v>74</v>
      </c>
      <c r="AC848" t="s">
        <v>74</v>
      </c>
      <c r="AD848" t="s">
        <v>74</v>
      </c>
      <c r="AE848" t="s">
        <v>74</v>
      </c>
      <c r="AF848" t="s">
        <v>74</v>
      </c>
      <c r="AG848">
        <v>49</v>
      </c>
      <c r="AH848">
        <v>82</v>
      </c>
      <c r="AI848">
        <v>97</v>
      </c>
      <c r="AJ848">
        <v>1</v>
      </c>
      <c r="AK848">
        <v>19</v>
      </c>
      <c r="AL848" t="s">
        <v>11310</v>
      </c>
      <c r="AM848" t="s">
        <v>11311</v>
      </c>
      <c r="AN848" t="s">
        <v>11312</v>
      </c>
      <c r="AO848" t="s">
        <v>11313</v>
      </c>
      <c r="AP848" t="s">
        <v>74</v>
      </c>
      <c r="AQ848" t="s">
        <v>74</v>
      </c>
      <c r="AR848" t="s">
        <v>11314</v>
      </c>
      <c r="AS848" t="s">
        <v>11315</v>
      </c>
      <c r="AT848" t="s">
        <v>11316</v>
      </c>
      <c r="AU848">
        <v>2001</v>
      </c>
      <c r="AV848">
        <v>41</v>
      </c>
      <c r="AW848">
        <v>1</v>
      </c>
      <c r="AX848" t="s">
        <v>74</v>
      </c>
      <c r="AY848" t="s">
        <v>74</v>
      </c>
      <c r="AZ848" t="s">
        <v>74</v>
      </c>
      <c r="BA848" t="s">
        <v>74</v>
      </c>
      <c r="BB848">
        <v>74</v>
      </c>
      <c r="BC848">
        <v>89</v>
      </c>
      <c r="BD848" t="s">
        <v>74</v>
      </c>
      <c r="BE848" t="s">
        <v>11384</v>
      </c>
      <c r="BF848" t="str">
        <f>HYPERLINK("http://dx.doi.org/10.1668/0003-1569(2001)041[0074:EVAIIO]2.0.CO;2","http://dx.doi.org/10.1668/0003-1569(2001)041[0074:EVAIIO]2.0.CO;2")</f>
        <v>http://dx.doi.org/10.1668/0003-1569(2001)041[0074:EVAIIO]2.0.CO;2</v>
      </c>
      <c r="BG848" t="s">
        <v>74</v>
      </c>
      <c r="BH848" t="s">
        <v>74</v>
      </c>
      <c r="BI848">
        <v>16</v>
      </c>
      <c r="BJ848" t="s">
        <v>408</v>
      </c>
      <c r="BK848" t="s">
        <v>453</v>
      </c>
      <c r="BL848" t="s">
        <v>408</v>
      </c>
      <c r="BM848" t="s">
        <v>11318</v>
      </c>
      <c r="BN848" t="s">
        <v>74</v>
      </c>
      <c r="BO848" t="s">
        <v>74</v>
      </c>
      <c r="BP848" t="s">
        <v>74</v>
      </c>
      <c r="BQ848" t="s">
        <v>74</v>
      </c>
      <c r="BR848" t="s">
        <v>91</v>
      </c>
      <c r="BS848" t="s">
        <v>11385</v>
      </c>
      <c r="BT848" t="str">
        <f>HYPERLINK("https%3A%2F%2Fwww.webofscience.com%2Fwos%2Fwoscc%2Ffull-record%2FWOS:000172505600007","View Full Record in Web of Science")</f>
        <v>View Full Record in Web of Science</v>
      </c>
    </row>
    <row r="849" spans="1:72" x14ac:dyDescent="0.15">
      <c r="A849" t="s">
        <v>72</v>
      </c>
      <c r="B849" t="s">
        <v>11386</v>
      </c>
      <c r="C849" t="s">
        <v>74</v>
      </c>
      <c r="D849" t="s">
        <v>74</v>
      </c>
      <c r="E849" t="s">
        <v>74</v>
      </c>
      <c r="F849" t="s">
        <v>11386</v>
      </c>
      <c r="G849" t="s">
        <v>74</v>
      </c>
      <c r="H849" t="s">
        <v>74</v>
      </c>
      <c r="I849" t="s">
        <v>11387</v>
      </c>
      <c r="J849" t="s">
        <v>11304</v>
      </c>
      <c r="K849" t="s">
        <v>74</v>
      </c>
      <c r="L849" t="s">
        <v>74</v>
      </c>
      <c r="M849" t="s">
        <v>77</v>
      </c>
      <c r="N849" t="s">
        <v>435</v>
      </c>
      <c r="O849" t="s">
        <v>11357</v>
      </c>
      <c r="P849" t="s">
        <v>11323</v>
      </c>
      <c r="Q849" t="s">
        <v>11358</v>
      </c>
      <c r="R849" t="s">
        <v>74</v>
      </c>
      <c r="S849" t="s">
        <v>74</v>
      </c>
      <c r="T849" t="s">
        <v>74</v>
      </c>
      <c r="U849" t="s">
        <v>11388</v>
      </c>
      <c r="V849" t="s">
        <v>11389</v>
      </c>
      <c r="W849" t="s">
        <v>2028</v>
      </c>
      <c r="X849" t="s">
        <v>2029</v>
      </c>
      <c r="Y849" t="s">
        <v>11390</v>
      </c>
      <c r="Z849" t="s">
        <v>74</v>
      </c>
      <c r="AA849" t="s">
        <v>74</v>
      </c>
      <c r="AB849" t="s">
        <v>74</v>
      </c>
      <c r="AC849" t="s">
        <v>74</v>
      </c>
      <c r="AD849" t="s">
        <v>74</v>
      </c>
      <c r="AE849" t="s">
        <v>74</v>
      </c>
      <c r="AF849" t="s">
        <v>74</v>
      </c>
      <c r="AG849">
        <v>49</v>
      </c>
      <c r="AH849">
        <v>117</v>
      </c>
      <c r="AI849">
        <v>127</v>
      </c>
      <c r="AJ849">
        <v>0</v>
      </c>
      <c r="AK849">
        <v>22</v>
      </c>
      <c r="AL849" t="s">
        <v>11310</v>
      </c>
      <c r="AM849" t="s">
        <v>11311</v>
      </c>
      <c r="AN849" t="s">
        <v>11312</v>
      </c>
      <c r="AO849" t="s">
        <v>11313</v>
      </c>
      <c r="AP849" t="s">
        <v>74</v>
      </c>
      <c r="AQ849" t="s">
        <v>74</v>
      </c>
      <c r="AR849" t="s">
        <v>11314</v>
      </c>
      <c r="AS849" t="s">
        <v>11315</v>
      </c>
      <c r="AT849" t="s">
        <v>11316</v>
      </c>
      <c r="AU849">
        <v>2001</v>
      </c>
      <c r="AV849">
        <v>41</v>
      </c>
      <c r="AW849">
        <v>1</v>
      </c>
      <c r="AX849" t="s">
        <v>74</v>
      </c>
      <c r="AY849" t="s">
        <v>74</v>
      </c>
      <c r="AZ849" t="s">
        <v>74</v>
      </c>
      <c r="BA849" t="s">
        <v>74</v>
      </c>
      <c r="BB849">
        <v>99</v>
      </c>
      <c r="BC849">
        <v>112</v>
      </c>
      <c r="BD849" t="s">
        <v>74</v>
      </c>
      <c r="BE849" t="s">
        <v>11391</v>
      </c>
      <c r="BF849" t="str">
        <f>HYPERLINK("http://dx.doi.org/10.1668/0003-1569(2001)041[0099:NACMOA]2.0.CO;2","http://dx.doi.org/10.1668/0003-1569(2001)041[0099:NACMOA]2.0.CO;2")</f>
        <v>http://dx.doi.org/10.1668/0003-1569(2001)041[0099:NACMOA]2.0.CO;2</v>
      </c>
      <c r="BG849" t="s">
        <v>74</v>
      </c>
      <c r="BH849" t="s">
        <v>74</v>
      </c>
      <c r="BI849">
        <v>14</v>
      </c>
      <c r="BJ849" t="s">
        <v>408</v>
      </c>
      <c r="BK849" t="s">
        <v>453</v>
      </c>
      <c r="BL849" t="s">
        <v>408</v>
      </c>
      <c r="BM849" t="s">
        <v>11318</v>
      </c>
      <c r="BN849" t="s">
        <v>74</v>
      </c>
      <c r="BO849" t="s">
        <v>74</v>
      </c>
      <c r="BP849" t="s">
        <v>74</v>
      </c>
      <c r="BQ849" t="s">
        <v>74</v>
      </c>
      <c r="BR849" t="s">
        <v>91</v>
      </c>
      <c r="BS849" t="s">
        <v>11392</v>
      </c>
      <c r="BT849" t="str">
        <f>HYPERLINK("https%3A%2F%2Fwww.webofscience.com%2Fwos%2Fwoscc%2Ffull-record%2FWOS:000172505600009","View Full Record in Web of Science")</f>
        <v>View Full Record in Web of Science</v>
      </c>
    </row>
    <row r="850" spans="1:72" x14ac:dyDescent="0.15">
      <c r="A850" t="s">
        <v>72</v>
      </c>
      <c r="B850" t="s">
        <v>11393</v>
      </c>
      <c r="C850" t="s">
        <v>74</v>
      </c>
      <c r="D850" t="s">
        <v>74</v>
      </c>
      <c r="E850" t="s">
        <v>74</v>
      </c>
      <c r="F850" t="s">
        <v>11393</v>
      </c>
      <c r="G850" t="s">
        <v>74</v>
      </c>
      <c r="H850" t="s">
        <v>74</v>
      </c>
      <c r="I850" t="s">
        <v>11394</v>
      </c>
      <c r="J850" t="s">
        <v>11304</v>
      </c>
      <c r="K850" t="s">
        <v>74</v>
      </c>
      <c r="L850" t="s">
        <v>74</v>
      </c>
      <c r="M850" t="s">
        <v>77</v>
      </c>
      <c r="N850" t="s">
        <v>435</v>
      </c>
      <c r="O850" t="s">
        <v>11357</v>
      </c>
      <c r="P850" t="s">
        <v>11323</v>
      </c>
      <c r="Q850" t="s">
        <v>11358</v>
      </c>
      <c r="R850" t="s">
        <v>74</v>
      </c>
      <c r="S850" t="s">
        <v>74</v>
      </c>
      <c r="T850" t="s">
        <v>74</v>
      </c>
      <c r="U850" t="s">
        <v>11395</v>
      </c>
      <c r="V850" t="s">
        <v>11396</v>
      </c>
      <c r="W850" t="s">
        <v>11397</v>
      </c>
      <c r="X850" t="s">
        <v>11398</v>
      </c>
      <c r="Y850" t="s">
        <v>11399</v>
      </c>
      <c r="Z850" t="s">
        <v>74</v>
      </c>
      <c r="AA850" t="s">
        <v>74</v>
      </c>
      <c r="AB850" t="s">
        <v>74</v>
      </c>
      <c r="AC850" t="s">
        <v>74</v>
      </c>
      <c r="AD850" t="s">
        <v>74</v>
      </c>
      <c r="AE850" t="s">
        <v>74</v>
      </c>
      <c r="AF850" t="s">
        <v>74</v>
      </c>
      <c r="AG850">
        <v>79</v>
      </c>
      <c r="AH850">
        <v>17</v>
      </c>
      <c r="AI850">
        <v>19</v>
      </c>
      <c r="AJ850">
        <v>0</v>
      </c>
      <c r="AK850">
        <v>7</v>
      </c>
      <c r="AL850" t="s">
        <v>11310</v>
      </c>
      <c r="AM850" t="s">
        <v>11311</v>
      </c>
      <c r="AN850" t="s">
        <v>11312</v>
      </c>
      <c r="AO850" t="s">
        <v>11313</v>
      </c>
      <c r="AP850" t="s">
        <v>74</v>
      </c>
      <c r="AQ850" t="s">
        <v>74</v>
      </c>
      <c r="AR850" t="s">
        <v>11314</v>
      </c>
      <c r="AS850" t="s">
        <v>11315</v>
      </c>
      <c r="AT850" t="s">
        <v>11316</v>
      </c>
      <c r="AU850">
        <v>2001</v>
      </c>
      <c r="AV850">
        <v>41</v>
      </c>
      <c r="AW850">
        <v>1</v>
      </c>
      <c r="AX850" t="s">
        <v>74</v>
      </c>
      <c r="AY850" t="s">
        <v>74</v>
      </c>
      <c r="AZ850" t="s">
        <v>74</v>
      </c>
      <c r="BA850" t="s">
        <v>74</v>
      </c>
      <c r="BB850">
        <v>113</v>
      </c>
      <c r="BC850">
        <v>132</v>
      </c>
      <c r="BD850" t="s">
        <v>74</v>
      </c>
      <c r="BE850" t="s">
        <v>11400</v>
      </c>
      <c r="BF850" t="str">
        <f>HYPERLINK("http://dx.doi.org/10.1668/0003-1569(2001)041[0113:AEOGEI]2.0.CO;2","http://dx.doi.org/10.1668/0003-1569(2001)041[0113:AEOGEI]2.0.CO;2")</f>
        <v>http://dx.doi.org/10.1668/0003-1569(2001)041[0113:AEOGEI]2.0.CO;2</v>
      </c>
      <c r="BG850" t="s">
        <v>74</v>
      </c>
      <c r="BH850" t="s">
        <v>74</v>
      </c>
      <c r="BI850">
        <v>20</v>
      </c>
      <c r="BJ850" t="s">
        <v>408</v>
      </c>
      <c r="BK850" t="s">
        <v>453</v>
      </c>
      <c r="BL850" t="s">
        <v>408</v>
      </c>
      <c r="BM850" t="s">
        <v>11318</v>
      </c>
      <c r="BN850" t="s">
        <v>74</v>
      </c>
      <c r="BO850" t="s">
        <v>74</v>
      </c>
      <c r="BP850" t="s">
        <v>74</v>
      </c>
      <c r="BQ850" t="s">
        <v>74</v>
      </c>
      <c r="BR850" t="s">
        <v>91</v>
      </c>
      <c r="BS850" t="s">
        <v>11401</v>
      </c>
      <c r="BT850" t="str">
        <f>HYPERLINK("https%3A%2F%2Fwww.webofscience.com%2Fwos%2Fwoscc%2Ffull-record%2FWOS:000172505600010","View Full Record in Web of Science")</f>
        <v>View Full Record in Web of Science</v>
      </c>
    </row>
    <row r="851" spans="1:72" x14ac:dyDescent="0.15">
      <c r="A851" t="s">
        <v>72</v>
      </c>
      <c r="B851" t="s">
        <v>11402</v>
      </c>
      <c r="C851" t="s">
        <v>74</v>
      </c>
      <c r="D851" t="s">
        <v>74</v>
      </c>
      <c r="E851" t="s">
        <v>74</v>
      </c>
      <c r="F851" t="s">
        <v>11402</v>
      </c>
      <c r="G851" t="s">
        <v>74</v>
      </c>
      <c r="H851" t="s">
        <v>74</v>
      </c>
      <c r="I851" t="s">
        <v>11403</v>
      </c>
      <c r="J851" t="s">
        <v>11404</v>
      </c>
      <c r="K851" t="s">
        <v>74</v>
      </c>
      <c r="L851" t="s">
        <v>74</v>
      </c>
      <c r="M851" t="s">
        <v>77</v>
      </c>
      <c r="N851" t="s">
        <v>120</v>
      </c>
      <c r="O851" t="s">
        <v>74</v>
      </c>
      <c r="P851" t="s">
        <v>74</v>
      </c>
      <c r="Q851" t="s">
        <v>74</v>
      </c>
      <c r="R851" t="s">
        <v>74</v>
      </c>
      <c r="S851" t="s">
        <v>74</v>
      </c>
      <c r="T851" t="s">
        <v>74</v>
      </c>
      <c r="U851" t="s">
        <v>11405</v>
      </c>
      <c r="V851" t="s">
        <v>11406</v>
      </c>
      <c r="W851" t="s">
        <v>11407</v>
      </c>
      <c r="X851" t="s">
        <v>11408</v>
      </c>
      <c r="Y851" t="s">
        <v>11409</v>
      </c>
      <c r="Z851" t="s">
        <v>11410</v>
      </c>
      <c r="AA851" t="s">
        <v>11411</v>
      </c>
      <c r="AB851" t="s">
        <v>11412</v>
      </c>
      <c r="AC851" t="s">
        <v>74</v>
      </c>
      <c r="AD851" t="s">
        <v>74</v>
      </c>
      <c r="AE851" t="s">
        <v>74</v>
      </c>
      <c r="AF851" t="s">
        <v>74</v>
      </c>
      <c r="AG851">
        <v>65</v>
      </c>
      <c r="AH851">
        <v>54</v>
      </c>
      <c r="AI851">
        <v>62</v>
      </c>
      <c r="AJ851">
        <v>0</v>
      </c>
      <c r="AK851">
        <v>31</v>
      </c>
      <c r="AL851" t="s">
        <v>1247</v>
      </c>
      <c r="AM851" t="s">
        <v>1248</v>
      </c>
      <c r="AN851" t="s">
        <v>1249</v>
      </c>
      <c r="AO851" t="s">
        <v>11413</v>
      </c>
      <c r="AP851" t="s">
        <v>11414</v>
      </c>
      <c r="AQ851" t="s">
        <v>74</v>
      </c>
      <c r="AR851" t="s">
        <v>11415</v>
      </c>
      <c r="AS851" t="s">
        <v>11416</v>
      </c>
      <c r="AT851" t="s">
        <v>11316</v>
      </c>
      <c r="AU851">
        <v>2001</v>
      </c>
      <c r="AV851">
        <v>4</v>
      </c>
      <c r="AW851" t="s">
        <v>74</v>
      </c>
      <c r="AX851">
        <v>1</v>
      </c>
      <c r="AY851" t="s">
        <v>74</v>
      </c>
      <c r="AZ851" t="s">
        <v>74</v>
      </c>
      <c r="BA851" t="s">
        <v>74</v>
      </c>
      <c r="BB851">
        <v>59</v>
      </c>
      <c r="BC851">
        <v>66</v>
      </c>
      <c r="BD851" t="s">
        <v>74</v>
      </c>
      <c r="BE851" t="s">
        <v>11417</v>
      </c>
      <c r="BF851" t="str">
        <f>HYPERLINK("http://dx.doi.org/10.1017/S1367943001001068","http://dx.doi.org/10.1017/S1367943001001068")</f>
        <v>http://dx.doi.org/10.1017/S1367943001001068</v>
      </c>
      <c r="BG851" t="s">
        <v>74</v>
      </c>
      <c r="BH851" t="s">
        <v>74</v>
      </c>
      <c r="BI851">
        <v>8</v>
      </c>
      <c r="BJ851" t="s">
        <v>209</v>
      </c>
      <c r="BK851" t="s">
        <v>88</v>
      </c>
      <c r="BL851" t="s">
        <v>210</v>
      </c>
      <c r="BM851" t="s">
        <v>11418</v>
      </c>
      <c r="BN851" t="s">
        <v>74</v>
      </c>
      <c r="BO851" t="s">
        <v>74</v>
      </c>
      <c r="BP851" t="s">
        <v>74</v>
      </c>
      <c r="BQ851" t="s">
        <v>74</v>
      </c>
      <c r="BR851" t="s">
        <v>91</v>
      </c>
      <c r="BS851" t="s">
        <v>11419</v>
      </c>
      <c r="BT851" t="str">
        <f>HYPERLINK("https%3A%2F%2Fwww.webofscience.com%2Fwos%2Fwoscc%2Ffull-record%2FWOS:000168471300006","View Full Record in Web of Science")</f>
        <v>View Full Record in Web of Science</v>
      </c>
    </row>
    <row r="852" spans="1:72" x14ac:dyDescent="0.15">
      <c r="A852" t="s">
        <v>72</v>
      </c>
      <c r="B852" t="s">
        <v>11420</v>
      </c>
      <c r="C852" t="s">
        <v>74</v>
      </c>
      <c r="D852" t="s">
        <v>74</v>
      </c>
      <c r="E852" t="s">
        <v>74</v>
      </c>
      <c r="F852" t="s">
        <v>11420</v>
      </c>
      <c r="G852" t="s">
        <v>74</v>
      </c>
      <c r="H852" t="s">
        <v>74</v>
      </c>
      <c r="I852" t="s">
        <v>11421</v>
      </c>
      <c r="J852" t="s">
        <v>4661</v>
      </c>
      <c r="K852" t="s">
        <v>74</v>
      </c>
      <c r="L852" t="s">
        <v>74</v>
      </c>
      <c r="M852" t="s">
        <v>77</v>
      </c>
      <c r="N852" t="s">
        <v>120</v>
      </c>
      <c r="O852" t="s">
        <v>74</v>
      </c>
      <c r="P852" t="s">
        <v>74</v>
      </c>
      <c r="Q852" t="s">
        <v>74</v>
      </c>
      <c r="R852" t="s">
        <v>74</v>
      </c>
      <c r="S852" t="s">
        <v>74</v>
      </c>
      <c r="T852" t="s">
        <v>6693</v>
      </c>
      <c r="U852" t="s">
        <v>74</v>
      </c>
      <c r="V852" t="s">
        <v>11422</v>
      </c>
      <c r="W852" t="s">
        <v>11423</v>
      </c>
      <c r="X852" t="s">
        <v>11424</v>
      </c>
      <c r="Y852" t="s">
        <v>11425</v>
      </c>
      <c r="Z852" t="s">
        <v>74</v>
      </c>
      <c r="AA852" t="s">
        <v>6699</v>
      </c>
      <c r="AB852" t="s">
        <v>6700</v>
      </c>
      <c r="AC852" t="s">
        <v>74</v>
      </c>
      <c r="AD852" t="s">
        <v>74</v>
      </c>
      <c r="AE852" t="s">
        <v>74</v>
      </c>
      <c r="AF852" t="s">
        <v>74</v>
      </c>
      <c r="AG852">
        <v>4</v>
      </c>
      <c r="AH852">
        <v>6</v>
      </c>
      <c r="AI852">
        <v>6</v>
      </c>
      <c r="AJ852">
        <v>0</v>
      </c>
      <c r="AK852">
        <v>3</v>
      </c>
      <c r="AL852" t="s">
        <v>4670</v>
      </c>
      <c r="AM852" t="s">
        <v>4671</v>
      </c>
      <c r="AN852" t="s">
        <v>4672</v>
      </c>
      <c r="AO852" t="s">
        <v>4673</v>
      </c>
      <c r="AP852" t="s">
        <v>74</v>
      </c>
      <c r="AQ852" t="s">
        <v>74</v>
      </c>
      <c r="AR852" t="s">
        <v>4674</v>
      </c>
      <c r="AS852" t="s">
        <v>4675</v>
      </c>
      <c r="AT852" t="s">
        <v>11316</v>
      </c>
      <c r="AU852">
        <v>2001</v>
      </c>
      <c r="AV852">
        <v>44</v>
      </c>
      <c r="AW852">
        <v>1</v>
      </c>
      <c r="AX852" t="s">
        <v>74</v>
      </c>
      <c r="AY852" t="s">
        <v>74</v>
      </c>
      <c r="AZ852" t="s">
        <v>74</v>
      </c>
      <c r="BA852" t="s">
        <v>74</v>
      </c>
      <c r="BB852">
        <v>127</v>
      </c>
      <c r="BC852">
        <v>135</v>
      </c>
      <c r="BD852" t="s">
        <v>74</v>
      </c>
      <c r="BE852" t="s">
        <v>74</v>
      </c>
      <c r="BF852" t="s">
        <v>74</v>
      </c>
      <c r="BG852" t="s">
        <v>74</v>
      </c>
      <c r="BH852" t="s">
        <v>74</v>
      </c>
      <c r="BI852">
        <v>9</v>
      </c>
      <c r="BJ852" t="s">
        <v>388</v>
      </c>
      <c r="BK852" t="s">
        <v>88</v>
      </c>
      <c r="BL852" t="s">
        <v>388</v>
      </c>
      <c r="BM852" t="s">
        <v>11426</v>
      </c>
      <c r="BN852" t="s">
        <v>74</v>
      </c>
      <c r="BO852" t="s">
        <v>74</v>
      </c>
      <c r="BP852" t="s">
        <v>74</v>
      </c>
      <c r="BQ852" t="s">
        <v>74</v>
      </c>
      <c r="BR852" t="s">
        <v>91</v>
      </c>
      <c r="BS852" t="s">
        <v>11427</v>
      </c>
      <c r="BT852" t="str">
        <f>HYPERLINK("https%3A%2F%2Fwww.webofscience.com%2Fwos%2Fwoscc%2Ffull-record%2FWOS:000168930500009","View Full Record in Web of Science")</f>
        <v>View Full Record in Web of Science</v>
      </c>
    </row>
    <row r="853" spans="1:72" x14ac:dyDescent="0.15">
      <c r="A853" t="s">
        <v>72</v>
      </c>
      <c r="B853" t="s">
        <v>11428</v>
      </c>
      <c r="C853" t="s">
        <v>74</v>
      </c>
      <c r="D853" t="s">
        <v>74</v>
      </c>
      <c r="E853" t="s">
        <v>74</v>
      </c>
      <c r="F853" t="s">
        <v>11428</v>
      </c>
      <c r="G853" t="s">
        <v>74</v>
      </c>
      <c r="H853" t="s">
        <v>74</v>
      </c>
      <c r="I853" t="s">
        <v>11429</v>
      </c>
      <c r="J853" t="s">
        <v>784</v>
      </c>
      <c r="K853" t="s">
        <v>74</v>
      </c>
      <c r="L853" t="s">
        <v>74</v>
      </c>
      <c r="M853" t="s">
        <v>77</v>
      </c>
      <c r="N853" t="s">
        <v>120</v>
      </c>
      <c r="O853" t="s">
        <v>74</v>
      </c>
      <c r="P853" t="s">
        <v>74</v>
      </c>
      <c r="Q853" t="s">
        <v>74</v>
      </c>
      <c r="R853" t="s">
        <v>74</v>
      </c>
      <c r="S853" t="s">
        <v>74</v>
      </c>
      <c r="T853" t="s">
        <v>74</v>
      </c>
      <c r="U853" t="s">
        <v>11430</v>
      </c>
      <c r="V853" t="s">
        <v>11431</v>
      </c>
      <c r="W853" t="s">
        <v>11432</v>
      </c>
      <c r="X853" t="s">
        <v>11433</v>
      </c>
      <c r="Y853" t="s">
        <v>11434</v>
      </c>
      <c r="Z853" t="s">
        <v>11435</v>
      </c>
      <c r="AA853" t="s">
        <v>11436</v>
      </c>
      <c r="AB853" t="s">
        <v>11437</v>
      </c>
      <c r="AC853" t="s">
        <v>74</v>
      </c>
      <c r="AD853" t="s">
        <v>74</v>
      </c>
      <c r="AE853" t="s">
        <v>74</v>
      </c>
      <c r="AF853" t="s">
        <v>74</v>
      </c>
      <c r="AG853">
        <v>73</v>
      </c>
      <c r="AH853">
        <v>14</v>
      </c>
      <c r="AI853">
        <v>15</v>
      </c>
      <c r="AJ853">
        <v>0</v>
      </c>
      <c r="AK853">
        <v>9</v>
      </c>
      <c r="AL853" t="s">
        <v>791</v>
      </c>
      <c r="AM853" t="s">
        <v>792</v>
      </c>
      <c r="AN853" t="s">
        <v>793</v>
      </c>
      <c r="AO853" t="s">
        <v>794</v>
      </c>
      <c r="AP853" t="s">
        <v>74</v>
      </c>
      <c r="AQ853" t="s">
        <v>74</v>
      </c>
      <c r="AR853" t="s">
        <v>795</v>
      </c>
      <c r="AS853" t="s">
        <v>796</v>
      </c>
      <c r="AT853" t="s">
        <v>11316</v>
      </c>
      <c r="AU853">
        <v>2001</v>
      </c>
      <c r="AV853">
        <v>33</v>
      </c>
      <c r="AW853">
        <v>1</v>
      </c>
      <c r="AX853" t="s">
        <v>74</v>
      </c>
      <c r="AY853" t="s">
        <v>74</v>
      </c>
      <c r="AZ853" t="s">
        <v>74</v>
      </c>
      <c r="BA853" t="s">
        <v>74</v>
      </c>
      <c r="BB853">
        <v>1</v>
      </c>
      <c r="BC853">
        <v>12</v>
      </c>
      <c r="BD853" t="s">
        <v>74</v>
      </c>
      <c r="BE853" t="s">
        <v>11438</v>
      </c>
      <c r="BF853" t="str">
        <f>HYPERLINK("http://dx.doi.org/10.2307/1552271","http://dx.doi.org/10.2307/1552271")</f>
        <v>http://dx.doi.org/10.2307/1552271</v>
      </c>
      <c r="BG853" t="s">
        <v>74</v>
      </c>
      <c r="BH853" t="s">
        <v>74</v>
      </c>
      <c r="BI853">
        <v>12</v>
      </c>
      <c r="BJ853" t="s">
        <v>798</v>
      </c>
      <c r="BK853" t="s">
        <v>88</v>
      </c>
      <c r="BL853" t="s">
        <v>799</v>
      </c>
      <c r="BM853" t="s">
        <v>11439</v>
      </c>
      <c r="BN853" t="s">
        <v>74</v>
      </c>
      <c r="BO853" t="s">
        <v>74</v>
      </c>
      <c r="BP853" t="s">
        <v>74</v>
      </c>
      <c r="BQ853" t="s">
        <v>74</v>
      </c>
      <c r="BR853" t="s">
        <v>91</v>
      </c>
      <c r="BS853" t="s">
        <v>11440</v>
      </c>
      <c r="BT853" t="str">
        <f>HYPERLINK("https%3A%2F%2Fwww.webofscience.com%2Fwos%2Fwoscc%2Ffull-record%2FWOS:000167381500001","View Full Record in Web of Science")</f>
        <v>View Full Record in Web of Science</v>
      </c>
    </row>
    <row r="854" spans="1:72" x14ac:dyDescent="0.15">
      <c r="A854" t="s">
        <v>72</v>
      </c>
      <c r="B854" t="s">
        <v>11441</v>
      </c>
      <c r="C854" t="s">
        <v>74</v>
      </c>
      <c r="D854" t="s">
        <v>74</v>
      </c>
      <c r="E854" t="s">
        <v>74</v>
      </c>
      <c r="F854" t="s">
        <v>11441</v>
      </c>
      <c r="G854" t="s">
        <v>74</v>
      </c>
      <c r="H854" t="s">
        <v>74</v>
      </c>
      <c r="I854" t="s">
        <v>11442</v>
      </c>
      <c r="J854" t="s">
        <v>784</v>
      </c>
      <c r="K854" t="s">
        <v>74</v>
      </c>
      <c r="L854" t="s">
        <v>74</v>
      </c>
      <c r="M854" t="s">
        <v>77</v>
      </c>
      <c r="N854" t="s">
        <v>120</v>
      </c>
      <c r="O854" t="s">
        <v>74</v>
      </c>
      <c r="P854" t="s">
        <v>74</v>
      </c>
      <c r="Q854" t="s">
        <v>74</v>
      </c>
      <c r="R854" t="s">
        <v>74</v>
      </c>
      <c r="S854" t="s">
        <v>74</v>
      </c>
      <c r="T854" t="s">
        <v>74</v>
      </c>
      <c r="U854" t="s">
        <v>11443</v>
      </c>
      <c r="V854" t="s">
        <v>11444</v>
      </c>
      <c r="W854" t="s">
        <v>11445</v>
      </c>
      <c r="X854" t="s">
        <v>11446</v>
      </c>
      <c r="Y854" t="s">
        <v>11447</v>
      </c>
      <c r="Z854" t="s">
        <v>74</v>
      </c>
      <c r="AA854" t="s">
        <v>11448</v>
      </c>
      <c r="AB854" t="s">
        <v>11449</v>
      </c>
      <c r="AC854" t="s">
        <v>74</v>
      </c>
      <c r="AD854" t="s">
        <v>74</v>
      </c>
      <c r="AE854" t="s">
        <v>74</v>
      </c>
      <c r="AF854" t="s">
        <v>74</v>
      </c>
      <c r="AG854">
        <v>36</v>
      </c>
      <c r="AH854">
        <v>3</v>
      </c>
      <c r="AI854">
        <v>4</v>
      </c>
      <c r="AJ854">
        <v>0</v>
      </c>
      <c r="AK854">
        <v>11</v>
      </c>
      <c r="AL854" t="s">
        <v>791</v>
      </c>
      <c r="AM854" t="s">
        <v>792</v>
      </c>
      <c r="AN854" t="s">
        <v>793</v>
      </c>
      <c r="AO854" t="s">
        <v>794</v>
      </c>
      <c r="AP854" t="s">
        <v>74</v>
      </c>
      <c r="AQ854" t="s">
        <v>74</v>
      </c>
      <c r="AR854" t="s">
        <v>795</v>
      </c>
      <c r="AS854" t="s">
        <v>796</v>
      </c>
      <c r="AT854" t="s">
        <v>11316</v>
      </c>
      <c r="AU854">
        <v>2001</v>
      </c>
      <c r="AV854">
        <v>33</v>
      </c>
      <c r="AW854">
        <v>1</v>
      </c>
      <c r="AX854" t="s">
        <v>74</v>
      </c>
      <c r="AY854" t="s">
        <v>74</v>
      </c>
      <c r="AZ854" t="s">
        <v>74</v>
      </c>
      <c r="BA854" t="s">
        <v>74</v>
      </c>
      <c r="BB854">
        <v>13</v>
      </c>
      <c r="BC854">
        <v>18</v>
      </c>
      <c r="BD854" t="s">
        <v>74</v>
      </c>
      <c r="BE854" t="s">
        <v>11450</v>
      </c>
      <c r="BF854" t="str">
        <f>HYPERLINK("http://dx.doi.org/10.2307/1552272","http://dx.doi.org/10.2307/1552272")</f>
        <v>http://dx.doi.org/10.2307/1552272</v>
      </c>
      <c r="BG854" t="s">
        <v>74</v>
      </c>
      <c r="BH854" t="s">
        <v>74</v>
      </c>
      <c r="BI854">
        <v>6</v>
      </c>
      <c r="BJ854" t="s">
        <v>798</v>
      </c>
      <c r="BK854" t="s">
        <v>88</v>
      </c>
      <c r="BL854" t="s">
        <v>799</v>
      </c>
      <c r="BM854" t="s">
        <v>11439</v>
      </c>
      <c r="BN854" t="s">
        <v>74</v>
      </c>
      <c r="BO854" t="s">
        <v>171</v>
      </c>
      <c r="BP854" t="s">
        <v>74</v>
      </c>
      <c r="BQ854" t="s">
        <v>74</v>
      </c>
      <c r="BR854" t="s">
        <v>91</v>
      </c>
      <c r="BS854" t="s">
        <v>11451</v>
      </c>
      <c r="BT854" t="str">
        <f>HYPERLINK("https%3A%2F%2Fwww.webofscience.com%2Fwos%2Fwoscc%2Ffull-record%2FWOS:000167381500002","View Full Record in Web of Science")</f>
        <v>View Full Record in Web of Science</v>
      </c>
    </row>
    <row r="855" spans="1:72" x14ac:dyDescent="0.15">
      <c r="A855" t="s">
        <v>72</v>
      </c>
      <c r="B855" t="s">
        <v>11452</v>
      </c>
      <c r="C855" t="s">
        <v>74</v>
      </c>
      <c r="D855" t="s">
        <v>74</v>
      </c>
      <c r="E855" t="s">
        <v>74</v>
      </c>
      <c r="F855" t="s">
        <v>11452</v>
      </c>
      <c r="G855" t="s">
        <v>74</v>
      </c>
      <c r="H855" t="s">
        <v>74</v>
      </c>
      <c r="I855" t="s">
        <v>11453</v>
      </c>
      <c r="J855" t="s">
        <v>784</v>
      </c>
      <c r="K855" t="s">
        <v>74</v>
      </c>
      <c r="L855" t="s">
        <v>74</v>
      </c>
      <c r="M855" t="s">
        <v>77</v>
      </c>
      <c r="N855" t="s">
        <v>120</v>
      </c>
      <c r="O855" t="s">
        <v>74</v>
      </c>
      <c r="P855" t="s">
        <v>74</v>
      </c>
      <c r="Q855" t="s">
        <v>74</v>
      </c>
      <c r="R855" t="s">
        <v>74</v>
      </c>
      <c r="S855" t="s">
        <v>74</v>
      </c>
      <c r="T855" t="s">
        <v>74</v>
      </c>
      <c r="U855" t="s">
        <v>11454</v>
      </c>
      <c r="V855" t="s">
        <v>11455</v>
      </c>
      <c r="W855" t="s">
        <v>11456</v>
      </c>
      <c r="X855" t="s">
        <v>11457</v>
      </c>
      <c r="Y855" t="s">
        <v>11458</v>
      </c>
      <c r="Z855" t="s">
        <v>11459</v>
      </c>
      <c r="AA855" t="s">
        <v>11460</v>
      </c>
      <c r="AB855" t="s">
        <v>11461</v>
      </c>
      <c r="AC855" t="s">
        <v>74</v>
      </c>
      <c r="AD855" t="s">
        <v>74</v>
      </c>
      <c r="AE855" t="s">
        <v>74</v>
      </c>
      <c r="AF855" t="s">
        <v>74</v>
      </c>
      <c r="AG855">
        <v>35</v>
      </c>
      <c r="AH855">
        <v>35</v>
      </c>
      <c r="AI855">
        <v>39</v>
      </c>
      <c r="AJ855">
        <v>0</v>
      </c>
      <c r="AK855">
        <v>7</v>
      </c>
      <c r="AL855" t="s">
        <v>791</v>
      </c>
      <c r="AM855" t="s">
        <v>792</v>
      </c>
      <c r="AN855" t="s">
        <v>793</v>
      </c>
      <c r="AO855" t="s">
        <v>794</v>
      </c>
      <c r="AP855" t="s">
        <v>814</v>
      </c>
      <c r="AQ855" t="s">
        <v>74</v>
      </c>
      <c r="AR855" t="s">
        <v>795</v>
      </c>
      <c r="AS855" t="s">
        <v>796</v>
      </c>
      <c r="AT855" t="s">
        <v>11316</v>
      </c>
      <c r="AU855">
        <v>2001</v>
      </c>
      <c r="AV855">
        <v>33</v>
      </c>
      <c r="AW855">
        <v>1</v>
      </c>
      <c r="AX855" t="s">
        <v>74</v>
      </c>
      <c r="AY855" t="s">
        <v>74</v>
      </c>
      <c r="AZ855" t="s">
        <v>74</v>
      </c>
      <c r="BA855" t="s">
        <v>74</v>
      </c>
      <c r="BB855">
        <v>19</v>
      </c>
      <c r="BC855">
        <v>27</v>
      </c>
      <c r="BD855" t="s">
        <v>74</v>
      </c>
      <c r="BE855" t="s">
        <v>11462</v>
      </c>
      <c r="BF855" t="str">
        <f>HYPERLINK("http://dx.doi.org/10.2307/1552273","http://dx.doi.org/10.2307/1552273")</f>
        <v>http://dx.doi.org/10.2307/1552273</v>
      </c>
      <c r="BG855" t="s">
        <v>74</v>
      </c>
      <c r="BH855" t="s">
        <v>74</v>
      </c>
      <c r="BI855">
        <v>9</v>
      </c>
      <c r="BJ855" t="s">
        <v>798</v>
      </c>
      <c r="BK855" t="s">
        <v>88</v>
      </c>
      <c r="BL855" t="s">
        <v>799</v>
      </c>
      <c r="BM855" t="s">
        <v>11439</v>
      </c>
      <c r="BN855" t="s">
        <v>74</v>
      </c>
      <c r="BO855" t="s">
        <v>74</v>
      </c>
      <c r="BP855" t="s">
        <v>74</v>
      </c>
      <c r="BQ855" t="s">
        <v>74</v>
      </c>
      <c r="BR855" t="s">
        <v>91</v>
      </c>
      <c r="BS855" t="s">
        <v>11463</v>
      </c>
      <c r="BT855" t="str">
        <f>HYPERLINK("https%3A%2F%2Fwww.webofscience.com%2Fwos%2Fwoscc%2Ffull-record%2FWOS:000167381500003","View Full Record in Web of Science")</f>
        <v>View Full Record in Web of Science</v>
      </c>
    </row>
    <row r="856" spans="1:72" x14ac:dyDescent="0.15">
      <c r="A856" t="s">
        <v>72</v>
      </c>
      <c r="B856" t="s">
        <v>11464</v>
      </c>
      <c r="C856" t="s">
        <v>74</v>
      </c>
      <c r="D856" t="s">
        <v>74</v>
      </c>
      <c r="E856" t="s">
        <v>74</v>
      </c>
      <c r="F856" t="s">
        <v>11464</v>
      </c>
      <c r="G856" t="s">
        <v>74</v>
      </c>
      <c r="H856" t="s">
        <v>74</v>
      </c>
      <c r="I856" t="s">
        <v>11465</v>
      </c>
      <c r="J856" t="s">
        <v>784</v>
      </c>
      <c r="K856" t="s">
        <v>74</v>
      </c>
      <c r="L856" t="s">
        <v>74</v>
      </c>
      <c r="M856" t="s">
        <v>77</v>
      </c>
      <c r="N856" t="s">
        <v>120</v>
      </c>
      <c r="O856" t="s">
        <v>74</v>
      </c>
      <c r="P856" t="s">
        <v>74</v>
      </c>
      <c r="Q856" t="s">
        <v>74</v>
      </c>
      <c r="R856" t="s">
        <v>74</v>
      </c>
      <c r="S856" t="s">
        <v>74</v>
      </c>
      <c r="T856" t="s">
        <v>74</v>
      </c>
      <c r="U856" t="s">
        <v>11466</v>
      </c>
      <c r="V856" t="s">
        <v>11467</v>
      </c>
      <c r="W856" t="s">
        <v>11468</v>
      </c>
      <c r="X856" t="s">
        <v>11469</v>
      </c>
      <c r="Y856" t="s">
        <v>11470</v>
      </c>
      <c r="Z856" t="s">
        <v>74</v>
      </c>
      <c r="AA856" t="s">
        <v>11471</v>
      </c>
      <c r="AB856" t="s">
        <v>11472</v>
      </c>
      <c r="AC856" t="s">
        <v>74</v>
      </c>
      <c r="AD856" t="s">
        <v>74</v>
      </c>
      <c r="AE856" t="s">
        <v>74</v>
      </c>
      <c r="AF856" t="s">
        <v>74</v>
      </c>
      <c r="AG856">
        <v>48</v>
      </c>
      <c r="AH856">
        <v>12</v>
      </c>
      <c r="AI856">
        <v>14</v>
      </c>
      <c r="AJ856">
        <v>0</v>
      </c>
      <c r="AK856">
        <v>7</v>
      </c>
      <c r="AL856" t="s">
        <v>791</v>
      </c>
      <c r="AM856" t="s">
        <v>792</v>
      </c>
      <c r="AN856" t="s">
        <v>793</v>
      </c>
      <c r="AO856" t="s">
        <v>794</v>
      </c>
      <c r="AP856" t="s">
        <v>74</v>
      </c>
      <c r="AQ856" t="s">
        <v>74</v>
      </c>
      <c r="AR856" t="s">
        <v>795</v>
      </c>
      <c r="AS856" t="s">
        <v>796</v>
      </c>
      <c r="AT856" t="s">
        <v>11316</v>
      </c>
      <c r="AU856">
        <v>2001</v>
      </c>
      <c r="AV856">
        <v>33</v>
      </c>
      <c r="AW856">
        <v>1</v>
      </c>
      <c r="AX856" t="s">
        <v>74</v>
      </c>
      <c r="AY856" t="s">
        <v>74</v>
      </c>
      <c r="AZ856" t="s">
        <v>74</v>
      </c>
      <c r="BA856" t="s">
        <v>74</v>
      </c>
      <c r="BB856">
        <v>28</v>
      </c>
      <c r="BC856">
        <v>35</v>
      </c>
      <c r="BD856" t="s">
        <v>74</v>
      </c>
      <c r="BE856" t="s">
        <v>11473</v>
      </c>
      <c r="BF856" t="str">
        <f>HYPERLINK("http://dx.doi.org/10.2307/1552274","http://dx.doi.org/10.2307/1552274")</f>
        <v>http://dx.doi.org/10.2307/1552274</v>
      </c>
      <c r="BG856" t="s">
        <v>74</v>
      </c>
      <c r="BH856" t="s">
        <v>74</v>
      </c>
      <c r="BI856">
        <v>8</v>
      </c>
      <c r="BJ856" t="s">
        <v>798</v>
      </c>
      <c r="BK856" t="s">
        <v>88</v>
      </c>
      <c r="BL856" t="s">
        <v>799</v>
      </c>
      <c r="BM856" t="s">
        <v>11439</v>
      </c>
      <c r="BN856" t="s">
        <v>74</v>
      </c>
      <c r="BO856" t="s">
        <v>171</v>
      </c>
      <c r="BP856" t="s">
        <v>74</v>
      </c>
      <c r="BQ856" t="s">
        <v>74</v>
      </c>
      <c r="BR856" t="s">
        <v>91</v>
      </c>
      <c r="BS856" t="s">
        <v>11474</v>
      </c>
      <c r="BT856" t="str">
        <f>HYPERLINK("https%3A%2F%2Fwww.webofscience.com%2Fwos%2Fwoscc%2Ffull-record%2FWOS:000167381500004","View Full Record in Web of Science")</f>
        <v>View Full Record in Web of Science</v>
      </c>
    </row>
    <row r="857" spans="1:72" x14ac:dyDescent="0.15">
      <c r="A857" t="s">
        <v>72</v>
      </c>
      <c r="B857" t="s">
        <v>11475</v>
      </c>
      <c r="C857" t="s">
        <v>74</v>
      </c>
      <c r="D857" t="s">
        <v>74</v>
      </c>
      <c r="E857" t="s">
        <v>74</v>
      </c>
      <c r="F857" t="s">
        <v>11475</v>
      </c>
      <c r="G857" t="s">
        <v>74</v>
      </c>
      <c r="H857" t="s">
        <v>74</v>
      </c>
      <c r="I857" t="s">
        <v>11476</v>
      </c>
      <c r="J857" t="s">
        <v>784</v>
      </c>
      <c r="K857" t="s">
        <v>74</v>
      </c>
      <c r="L857" t="s">
        <v>74</v>
      </c>
      <c r="M857" t="s">
        <v>77</v>
      </c>
      <c r="N857" t="s">
        <v>120</v>
      </c>
      <c r="O857" t="s">
        <v>74</v>
      </c>
      <c r="P857" t="s">
        <v>74</v>
      </c>
      <c r="Q857" t="s">
        <v>74</v>
      </c>
      <c r="R857" t="s">
        <v>74</v>
      </c>
      <c r="S857" t="s">
        <v>74</v>
      </c>
      <c r="T857" t="s">
        <v>74</v>
      </c>
      <c r="U857" t="s">
        <v>74</v>
      </c>
      <c r="V857" t="s">
        <v>11477</v>
      </c>
      <c r="W857" t="s">
        <v>11478</v>
      </c>
      <c r="X857" t="s">
        <v>11479</v>
      </c>
      <c r="Y857" t="s">
        <v>11480</v>
      </c>
      <c r="Z857" t="s">
        <v>74</v>
      </c>
      <c r="AA857" t="s">
        <v>74</v>
      </c>
      <c r="AB857" t="s">
        <v>11481</v>
      </c>
      <c r="AC857" t="s">
        <v>74</v>
      </c>
      <c r="AD857" t="s">
        <v>74</v>
      </c>
      <c r="AE857" t="s">
        <v>74</v>
      </c>
      <c r="AF857" t="s">
        <v>74</v>
      </c>
      <c r="AG857">
        <v>17</v>
      </c>
      <c r="AH857">
        <v>49</v>
      </c>
      <c r="AI857">
        <v>51</v>
      </c>
      <c r="AJ857">
        <v>0</v>
      </c>
      <c r="AK857">
        <v>17</v>
      </c>
      <c r="AL857" t="s">
        <v>791</v>
      </c>
      <c r="AM857" t="s">
        <v>792</v>
      </c>
      <c r="AN857" t="s">
        <v>793</v>
      </c>
      <c r="AO857" t="s">
        <v>794</v>
      </c>
      <c r="AP857" t="s">
        <v>74</v>
      </c>
      <c r="AQ857" t="s">
        <v>74</v>
      </c>
      <c r="AR857" t="s">
        <v>795</v>
      </c>
      <c r="AS857" t="s">
        <v>796</v>
      </c>
      <c r="AT857" t="s">
        <v>11316</v>
      </c>
      <c r="AU857">
        <v>2001</v>
      </c>
      <c r="AV857">
        <v>33</v>
      </c>
      <c r="AW857">
        <v>1</v>
      </c>
      <c r="AX857" t="s">
        <v>74</v>
      </c>
      <c r="AY857" t="s">
        <v>74</v>
      </c>
      <c r="AZ857" t="s">
        <v>74</v>
      </c>
      <c r="BA857" t="s">
        <v>74</v>
      </c>
      <c r="BB857">
        <v>36</v>
      </c>
      <c r="BC857">
        <v>41</v>
      </c>
      <c r="BD857" t="s">
        <v>74</v>
      </c>
      <c r="BE857" t="s">
        <v>11482</v>
      </c>
      <c r="BF857" t="str">
        <f>HYPERLINK("http://dx.doi.org/10.2307/1552275","http://dx.doi.org/10.2307/1552275")</f>
        <v>http://dx.doi.org/10.2307/1552275</v>
      </c>
      <c r="BG857" t="s">
        <v>74</v>
      </c>
      <c r="BH857" t="s">
        <v>74</v>
      </c>
      <c r="BI857">
        <v>6</v>
      </c>
      <c r="BJ857" t="s">
        <v>798</v>
      </c>
      <c r="BK857" t="s">
        <v>88</v>
      </c>
      <c r="BL857" t="s">
        <v>799</v>
      </c>
      <c r="BM857" t="s">
        <v>11439</v>
      </c>
      <c r="BN857" t="s">
        <v>74</v>
      </c>
      <c r="BO857" t="s">
        <v>74</v>
      </c>
      <c r="BP857" t="s">
        <v>74</v>
      </c>
      <c r="BQ857" t="s">
        <v>74</v>
      </c>
      <c r="BR857" t="s">
        <v>91</v>
      </c>
      <c r="BS857" t="s">
        <v>11483</v>
      </c>
      <c r="BT857" t="str">
        <f>HYPERLINK("https%3A%2F%2Fwww.webofscience.com%2Fwos%2Fwoscc%2Ffull-record%2FWOS:000167381500005","View Full Record in Web of Science")</f>
        <v>View Full Record in Web of Science</v>
      </c>
    </row>
    <row r="858" spans="1:72" x14ac:dyDescent="0.15">
      <c r="A858" t="s">
        <v>72</v>
      </c>
      <c r="B858" t="s">
        <v>11484</v>
      </c>
      <c r="C858" t="s">
        <v>74</v>
      </c>
      <c r="D858" t="s">
        <v>74</v>
      </c>
      <c r="E858" t="s">
        <v>74</v>
      </c>
      <c r="F858" t="s">
        <v>11484</v>
      </c>
      <c r="G858" t="s">
        <v>74</v>
      </c>
      <c r="H858" t="s">
        <v>74</v>
      </c>
      <c r="I858" t="s">
        <v>11485</v>
      </c>
      <c r="J858" t="s">
        <v>784</v>
      </c>
      <c r="K858" t="s">
        <v>74</v>
      </c>
      <c r="L858" t="s">
        <v>74</v>
      </c>
      <c r="M858" t="s">
        <v>77</v>
      </c>
      <c r="N858" t="s">
        <v>120</v>
      </c>
      <c r="O858" t="s">
        <v>74</v>
      </c>
      <c r="P858" t="s">
        <v>74</v>
      </c>
      <c r="Q858" t="s">
        <v>74</v>
      </c>
      <c r="R858" t="s">
        <v>74</v>
      </c>
      <c r="S858" t="s">
        <v>74</v>
      </c>
      <c r="T858" t="s">
        <v>74</v>
      </c>
      <c r="U858" t="s">
        <v>11486</v>
      </c>
      <c r="V858" t="s">
        <v>11487</v>
      </c>
      <c r="W858" t="s">
        <v>11488</v>
      </c>
      <c r="X858" t="s">
        <v>11489</v>
      </c>
      <c r="Y858" t="s">
        <v>11490</v>
      </c>
      <c r="Z858" t="s">
        <v>74</v>
      </c>
      <c r="AA858" t="s">
        <v>74</v>
      </c>
      <c r="AB858" t="s">
        <v>74</v>
      </c>
      <c r="AC858" t="s">
        <v>74</v>
      </c>
      <c r="AD858" t="s">
        <v>74</v>
      </c>
      <c r="AE858" t="s">
        <v>74</v>
      </c>
      <c r="AF858" t="s">
        <v>74</v>
      </c>
      <c r="AG858">
        <v>40</v>
      </c>
      <c r="AH858">
        <v>36</v>
      </c>
      <c r="AI858">
        <v>38</v>
      </c>
      <c r="AJ858">
        <v>0</v>
      </c>
      <c r="AK858">
        <v>10</v>
      </c>
      <c r="AL858" t="s">
        <v>791</v>
      </c>
      <c r="AM858" t="s">
        <v>792</v>
      </c>
      <c r="AN858" t="s">
        <v>793</v>
      </c>
      <c r="AO858" t="s">
        <v>794</v>
      </c>
      <c r="AP858" t="s">
        <v>74</v>
      </c>
      <c r="AQ858" t="s">
        <v>74</v>
      </c>
      <c r="AR858" t="s">
        <v>795</v>
      </c>
      <c r="AS858" t="s">
        <v>796</v>
      </c>
      <c r="AT858" t="s">
        <v>11316</v>
      </c>
      <c r="AU858">
        <v>2001</v>
      </c>
      <c r="AV858">
        <v>33</v>
      </c>
      <c r="AW858">
        <v>1</v>
      </c>
      <c r="AX858" t="s">
        <v>74</v>
      </c>
      <c r="AY858" t="s">
        <v>74</v>
      </c>
      <c r="AZ858" t="s">
        <v>74</v>
      </c>
      <c r="BA858" t="s">
        <v>74</v>
      </c>
      <c r="BB858">
        <v>42</v>
      </c>
      <c r="BC858">
        <v>51</v>
      </c>
      <c r="BD858" t="s">
        <v>74</v>
      </c>
      <c r="BE858" t="s">
        <v>11491</v>
      </c>
      <c r="BF858" t="str">
        <f>HYPERLINK("http://dx.doi.org/10.2307/1552276","http://dx.doi.org/10.2307/1552276")</f>
        <v>http://dx.doi.org/10.2307/1552276</v>
      </c>
      <c r="BG858" t="s">
        <v>74</v>
      </c>
      <c r="BH858" t="s">
        <v>74</v>
      </c>
      <c r="BI858">
        <v>10</v>
      </c>
      <c r="BJ858" t="s">
        <v>798</v>
      </c>
      <c r="BK858" t="s">
        <v>88</v>
      </c>
      <c r="BL858" t="s">
        <v>799</v>
      </c>
      <c r="BM858" t="s">
        <v>11439</v>
      </c>
      <c r="BN858" t="s">
        <v>74</v>
      </c>
      <c r="BO858" t="s">
        <v>74</v>
      </c>
      <c r="BP858" t="s">
        <v>74</v>
      </c>
      <c r="BQ858" t="s">
        <v>74</v>
      </c>
      <c r="BR858" t="s">
        <v>91</v>
      </c>
      <c r="BS858" t="s">
        <v>11492</v>
      </c>
      <c r="BT858" t="str">
        <f>HYPERLINK("https%3A%2F%2Fwww.webofscience.com%2Fwos%2Fwoscc%2Ffull-record%2FWOS:000167381500006","View Full Record in Web of Science")</f>
        <v>View Full Record in Web of Science</v>
      </c>
    </row>
    <row r="859" spans="1:72" x14ac:dyDescent="0.15">
      <c r="A859" t="s">
        <v>72</v>
      </c>
      <c r="B859" t="s">
        <v>11493</v>
      </c>
      <c r="C859" t="s">
        <v>74</v>
      </c>
      <c r="D859" t="s">
        <v>74</v>
      </c>
      <c r="E859" t="s">
        <v>74</v>
      </c>
      <c r="F859" t="s">
        <v>11493</v>
      </c>
      <c r="G859" t="s">
        <v>74</v>
      </c>
      <c r="H859" t="s">
        <v>74</v>
      </c>
      <c r="I859" t="s">
        <v>11494</v>
      </c>
      <c r="J859" t="s">
        <v>784</v>
      </c>
      <c r="K859" t="s">
        <v>74</v>
      </c>
      <c r="L859" t="s">
        <v>74</v>
      </c>
      <c r="M859" t="s">
        <v>77</v>
      </c>
      <c r="N859" t="s">
        <v>120</v>
      </c>
      <c r="O859" t="s">
        <v>74</v>
      </c>
      <c r="P859" t="s">
        <v>74</v>
      </c>
      <c r="Q859" t="s">
        <v>74</v>
      </c>
      <c r="R859" t="s">
        <v>74</v>
      </c>
      <c r="S859" t="s">
        <v>74</v>
      </c>
      <c r="T859" t="s">
        <v>74</v>
      </c>
      <c r="U859" t="s">
        <v>11495</v>
      </c>
      <c r="V859" t="s">
        <v>11496</v>
      </c>
      <c r="W859" t="s">
        <v>11497</v>
      </c>
      <c r="X859" t="s">
        <v>11498</v>
      </c>
      <c r="Y859" t="s">
        <v>11499</v>
      </c>
      <c r="Z859" t="s">
        <v>74</v>
      </c>
      <c r="AA859" t="s">
        <v>11500</v>
      </c>
      <c r="AB859" t="s">
        <v>74</v>
      </c>
      <c r="AC859" t="s">
        <v>74</v>
      </c>
      <c r="AD859" t="s">
        <v>74</v>
      </c>
      <c r="AE859" t="s">
        <v>74</v>
      </c>
      <c r="AF859" t="s">
        <v>74</v>
      </c>
      <c r="AG859">
        <v>36</v>
      </c>
      <c r="AH859">
        <v>45</v>
      </c>
      <c r="AI859">
        <v>45</v>
      </c>
      <c r="AJ859">
        <v>0</v>
      </c>
      <c r="AK859">
        <v>6</v>
      </c>
      <c r="AL859" t="s">
        <v>791</v>
      </c>
      <c r="AM859" t="s">
        <v>792</v>
      </c>
      <c r="AN859" t="s">
        <v>793</v>
      </c>
      <c r="AO859" t="s">
        <v>794</v>
      </c>
      <c r="AP859" t="s">
        <v>74</v>
      </c>
      <c r="AQ859" t="s">
        <v>74</v>
      </c>
      <c r="AR859" t="s">
        <v>795</v>
      </c>
      <c r="AS859" t="s">
        <v>796</v>
      </c>
      <c r="AT859" t="s">
        <v>11316</v>
      </c>
      <c r="AU859">
        <v>2001</v>
      </c>
      <c r="AV859">
        <v>33</v>
      </c>
      <c r="AW859">
        <v>1</v>
      </c>
      <c r="AX859" t="s">
        <v>74</v>
      </c>
      <c r="AY859" t="s">
        <v>74</v>
      </c>
      <c r="AZ859" t="s">
        <v>74</v>
      </c>
      <c r="BA859" t="s">
        <v>74</v>
      </c>
      <c r="BB859">
        <v>52</v>
      </c>
      <c r="BC859">
        <v>61</v>
      </c>
      <c r="BD859" t="s">
        <v>74</v>
      </c>
      <c r="BE859" t="s">
        <v>11501</v>
      </c>
      <c r="BF859" t="str">
        <f>HYPERLINK("http://dx.doi.org/10.2307/1552277","http://dx.doi.org/10.2307/1552277")</f>
        <v>http://dx.doi.org/10.2307/1552277</v>
      </c>
      <c r="BG859" t="s">
        <v>74</v>
      </c>
      <c r="BH859" t="s">
        <v>74</v>
      </c>
      <c r="BI859">
        <v>10</v>
      </c>
      <c r="BJ859" t="s">
        <v>798</v>
      </c>
      <c r="BK859" t="s">
        <v>88</v>
      </c>
      <c r="BL859" t="s">
        <v>799</v>
      </c>
      <c r="BM859" t="s">
        <v>11439</v>
      </c>
      <c r="BN859" t="s">
        <v>74</v>
      </c>
      <c r="BO859" t="s">
        <v>74</v>
      </c>
      <c r="BP859" t="s">
        <v>74</v>
      </c>
      <c r="BQ859" t="s">
        <v>74</v>
      </c>
      <c r="BR859" t="s">
        <v>91</v>
      </c>
      <c r="BS859" t="s">
        <v>11502</v>
      </c>
      <c r="BT859" t="str">
        <f>HYPERLINK("https%3A%2F%2Fwww.webofscience.com%2Fwos%2Fwoscc%2Ffull-record%2FWOS:000167381500007","View Full Record in Web of Science")</f>
        <v>View Full Record in Web of Science</v>
      </c>
    </row>
    <row r="860" spans="1:72" x14ac:dyDescent="0.15">
      <c r="A860" t="s">
        <v>72</v>
      </c>
      <c r="B860" t="s">
        <v>11503</v>
      </c>
      <c r="C860" t="s">
        <v>74</v>
      </c>
      <c r="D860" t="s">
        <v>74</v>
      </c>
      <c r="E860" t="s">
        <v>74</v>
      </c>
      <c r="F860" t="s">
        <v>11503</v>
      </c>
      <c r="G860" t="s">
        <v>74</v>
      </c>
      <c r="H860" t="s">
        <v>74</v>
      </c>
      <c r="I860" t="s">
        <v>11504</v>
      </c>
      <c r="J860" t="s">
        <v>784</v>
      </c>
      <c r="K860" t="s">
        <v>74</v>
      </c>
      <c r="L860" t="s">
        <v>74</v>
      </c>
      <c r="M860" t="s">
        <v>77</v>
      </c>
      <c r="N860" t="s">
        <v>120</v>
      </c>
      <c r="O860" t="s">
        <v>74</v>
      </c>
      <c r="P860" t="s">
        <v>74</v>
      </c>
      <c r="Q860" t="s">
        <v>74</v>
      </c>
      <c r="R860" t="s">
        <v>74</v>
      </c>
      <c r="S860" t="s">
        <v>74</v>
      </c>
      <c r="T860" t="s">
        <v>74</v>
      </c>
      <c r="U860" t="s">
        <v>11505</v>
      </c>
      <c r="V860" t="s">
        <v>11506</v>
      </c>
      <c r="W860" t="s">
        <v>11507</v>
      </c>
      <c r="X860" t="s">
        <v>11508</v>
      </c>
      <c r="Y860" t="s">
        <v>11509</v>
      </c>
      <c r="Z860" t="s">
        <v>74</v>
      </c>
      <c r="AA860" t="s">
        <v>11510</v>
      </c>
      <c r="AB860" t="s">
        <v>74</v>
      </c>
      <c r="AC860" t="s">
        <v>74</v>
      </c>
      <c r="AD860" t="s">
        <v>74</v>
      </c>
      <c r="AE860" t="s">
        <v>74</v>
      </c>
      <c r="AF860" t="s">
        <v>74</v>
      </c>
      <c r="AG860">
        <v>18</v>
      </c>
      <c r="AH860">
        <v>36</v>
      </c>
      <c r="AI860">
        <v>50</v>
      </c>
      <c r="AJ860">
        <v>2</v>
      </c>
      <c r="AK860">
        <v>26</v>
      </c>
      <c r="AL860" t="s">
        <v>791</v>
      </c>
      <c r="AM860" t="s">
        <v>792</v>
      </c>
      <c r="AN860" t="s">
        <v>793</v>
      </c>
      <c r="AO860" t="s">
        <v>794</v>
      </c>
      <c r="AP860" t="s">
        <v>74</v>
      </c>
      <c r="AQ860" t="s">
        <v>74</v>
      </c>
      <c r="AR860" t="s">
        <v>795</v>
      </c>
      <c r="AS860" t="s">
        <v>796</v>
      </c>
      <c r="AT860" t="s">
        <v>11316</v>
      </c>
      <c r="AU860">
        <v>2001</v>
      </c>
      <c r="AV860">
        <v>33</v>
      </c>
      <c r="AW860">
        <v>1</v>
      </c>
      <c r="AX860" t="s">
        <v>74</v>
      </c>
      <c r="AY860" t="s">
        <v>74</v>
      </c>
      <c r="AZ860" t="s">
        <v>74</v>
      </c>
      <c r="BA860" t="s">
        <v>74</v>
      </c>
      <c r="BB860">
        <v>62</v>
      </c>
      <c r="BC860">
        <v>69</v>
      </c>
      <c r="BD860" t="s">
        <v>74</v>
      </c>
      <c r="BE860" t="s">
        <v>11511</v>
      </c>
      <c r="BF860" t="str">
        <f>HYPERLINK("http://dx.doi.org/10.2307/1552278","http://dx.doi.org/10.2307/1552278")</f>
        <v>http://dx.doi.org/10.2307/1552278</v>
      </c>
      <c r="BG860" t="s">
        <v>74</v>
      </c>
      <c r="BH860" t="s">
        <v>74</v>
      </c>
      <c r="BI860">
        <v>8</v>
      </c>
      <c r="BJ860" t="s">
        <v>798</v>
      </c>
      <c r="BK860" t="s">
        <v>88</v>
      </c>
      <c r="BL860" t="s">
        <v>799</v>
      </c>
      <c r="BM860" t="s">
        <v>11439</v>
      </c>
      <c r="BN860" t="s">
        <v>74</v>
      </c>
      <c r="BO860" t="s">
        <v>74</v>
      </c>
      <c r="BP860" t="s">
        <v>74</v>
      </c>
      <c r="BQ860" t="s">
        <v>74</v>
      </c>
      <c r="BR860" t="s">
        <v>91</v>
      </c>
      <c r="BS860" t="s">
        <v>11512</v>
      </c>
      <c r="BT860" t="str">
        <f>HYPERLINK("https%3A%2F%2Fwww.webofscience.com%2Fwos%2Fwoscc%2Ffull-record%2FWOS:000167381500008","View Full Record in Web of Science")</f>
        <v>View Full Record in Web of Science</v>
      </c>
    </row>
    <row r="861" spans="1:72" x14ac:dyDescent="0.15">
      <c r="A861" t="s">
        <v>72</v>
      </c>
      <c r="B861" t="s">
        <v>11513</v>
      </c>
      <c r="C861" t="s">
        <v>74</v>
      </c>
      <c r="D861" t="s">
        <v>74</v>
      </c>
      <c r="E861" t="s">
        <v>74</v>
      </c>
      <c r="F861" t="s">
        <v>11513</v>
      </c>
      <c r="G861" t="s">
        <v>74</v>
      </c>
      <c r="H861" t="s">
        <v>74</v>
      </c>
      <c r="I861" t="s">
        <v>11514</v>
      </c>
      <c r="J861" t="s">
        <v>784</v>
      </c>
      <c r="K861" t="s">
        <v>74</v>
      </c>
      <c r="L861" t="s">
        <v>74</v>
      </c>
      <c r="M861" t="s">
        <v>77</v>
      </c>
      <c r="N861" t="s">
        <v>120</v>
      </c>
      <c r="O861" t="s">
        <v>74</v>
      </c>
      <c r="P861" t="s">
        <v>74</v>
      </c>
      <c r="Q861" t="s">
        <v>74</v>
      </c>
      <c r="R861" t="s">
        <v>74</v>
      </c>
      <c r="S861" t="s">
        <v>74</v>
      </c>
      <c r="T861" t="s">
        <v>74</v>
      </c>
      <c r="U861" t="s">
        <v>11515</v>
      </c>
      <c r="V861" t="s">
        <v>11516</v>
      </c>
      <c r="W861" t="s">
        <v>11517</v>
      </c>
      <c r="X861" t="s">
        <v>8063</v>
      </c>
      <c r="Y861" t="s">
        <v>11518</v>
      </c>
      <c r="Z861" t="s">
        <v>74</v>
      </c>
      <c r="AA861" t="s">
        <v>74</v>
      </c>
      <c r="AB861" t="s">
        <v>74</v>
      </c>
      <c r="AC861" t="s">
        <v>74</v>
      </c>
      <c r="AD861" t="s">
        <v>74</v>
      </c>
      <c r="AE861" t="s">
        <v>74</v>
      </c>
      <c r="AF861" t="s">
        <v>74</v>
      </c>
      <c r="AG861">
        <v>41</v>
      </c>
      <c r="AH861">
        <v>74</v>
      </c>
      <c r="AI861">
        <v>85</v>
      </c>
      <c r="AJ861">
        <v>1</v>
      </c>
      <c r="AK861">
        <v>29</v>
      </c>
      <c r="AL861" t="s">
        <v>791</v>
      </c>
      <c r="AM861" t="s">
        <v>792</v>
      </c>
      <c r="AN861" t="s">
        <v>793</v>
      </c>
      <c r="AO861" t="s">
        <v>794</v>
      </c>
      <c r="AP861" t="s">
        <v>74</v>
      </c>
      <c r="AQ861" t="s">
        <v>74</v>
      </c>
      <c r="AR861" t="s">
        <v>795</v>
      </c>
      <c r="AS861" t="s">
        <v>796</v>
      </c>
      <c r="AT861" t="s">
        <v>11316</v>
      </c>
      <c r="AU861">
        <v>2001</v>
      </c>
      <c r="AV861">
        <v>33</v>
      </c>
      <c r="AW861">
        <v>1</v>
      </c>
      <c r="AX861" t="s">
        <v>74</v>
      </c>
      <c r="AY861" t="s">
        <v>74</v>
      </c>
      <c r="AZ861" t="s">
        <v>74</v>
      </c>
      <c r="BA861" t="s">
        <v>74</v>
      </c>
      <c r="BB861">
        <v>70</v>
      </c>
      <c r="BC861">
        <v>77</v>
      </c>
      <c r="BD861" t="s">
        <v>74</v>
      </c>
      <c r="BE861" t="s">
        <v>11519</v>
      </c>
      <c r="BF861" t="str">
        <f>HYPERLINK("http://dx.doi.org/10.2307/1552279","http://dx.doi.org/10.2307/1552279")</f>
        <v>http://dx.doi.org/10.2307/1552279</v>
      </c>
      <c r="BG861" t="s">
        <v>74</v>
      </c>
      <c r="BH861" t="s">
        <v>74</v>
      </c>
      <c r="BI861">
        <v>8</v>
      </c>
      <c r="BJ861" t="s">
        <v>798</v>
      </c>
      <c r="BK861" t="s">
        <v>88</v>
      </c>
      <c r="BL861" t="s">
        <v>799</v>
      </c>
      <c r="BM861" t="s">
        <v>11439</v>
      </c>
      <c r="BN861" t="s">
        <v>74</v>
      </c>
      <c r="BO861" t="s">
        <v>74</v>
      </c>
      <c r="BP861" t="s">
        <v>74</v>
      </c>
      <c r="BQ861" t="s">
        <v>74</v>
      </c>
      <c r="BR861" t="s">
        <v>91</v>
      </c>
      <c r="BS861" t="s">
        <v>11520</v>
      </c>
      <c r="BT861" t="str">
        <f>HYPERLINK("https%3A%2F%2Fwww.webofscience.com%2Fwos%2Fwoscc%2Ffull-record%2FWOS:000167381500009","View Full Record in Web of Science")</f>
        <v>View Full Record in Web of Science</v>
      </c>
    </row>
    <row r="862" spans="1:72" x14ac:dyDescent="0.15">
      <c r="A862" t="s">
        <v>72</v>
      </c>
      <c r="B862" t="s">
        <v>11521</v>
      </c>
      <c r="C862" t="s">
        <v>74</v>
      </c>
      <c r="D862" t="s">
        <v>74</v>
      </c>
      <c r="E862" t="s">
        <v>74</v>
      </c>
      <c r="F862" t="s">
        <v>11521</v>
      </c>
      <c r="G862" t="s">
        <v>74</v>
      </c>
      <c r="H862" t="s">
        <v>74</v>
      </c>
      <c r="I862" t="s">
        <v>11522</v>
      </c>
      <c r="J862" t="s">
        <v>784</v>
      </c>
      <c r="K862" t="s">
        <v>74</v>
      </c>
      <c r="L862" t="s">
        <v>74</v>
      </c>
      <c r="M862" t="s">
        <v>77</v>
      </c>
      <c r="N862" t="s">
        <v>120</v>
      </c>
      <c r="O862" t="s">
        <v>74</v>
      </c>
      <c r="P862" t="s">
        <v>74</v>
      </c>
      <c r="Q862" t="s">
        <v>74</v>
      </c>
      <c r="R862" t="s">
        <v>74</v>
      </c>
      <c r="S862" t="s">
        <v>74</v>
      </c>
      <c r="T862" t="s">
        <v>74</v>
      </c>
      <c r="U862" t="s">
        <v>11523</v>
      </c>
      <c r="V862" t="s">
        <v>11524</v>
      </c>
      <c r="W862" t="s">
        <v>11525</v>
      </c>
      <c r="X862" t="s">
        <v>11526</v>
      </c>
      <c r="Y862" t="s">
        <v>11527</v>
      </c>
      <c r="Z862" t="s">
        <v>11528</v>
      </c>
      <c r="AA862" t="s">
        <v>74</v>
      </c>
      <c r="AB862" t="s">
        <v>74</v>
      </c>
      <c r="AC862" t="s">
        <v>74</v>
      </c>
      <c r="AD862" t="s">
        <v>74</v>
      </c>
      <c r="AE862" t="s">
        <v>74</v>
      </c>
      <c r="AF862" t="s">
        <v>74</v>
      </c>
      <c r="AG862">
        <v>35</v>
      </c>
      <c r="AH862">
        <v>28</v>
      </c>
      <c r="AI862">
        <v>34</v>
      </c>
      <c r="AJ862">
        <v>0</v>
      </c>
      <c r="AK862">
        <v>18</v>
      </c>
      <c r="AL862" t="s">
        <v>791</v>
      </c>
      <c r="AM862" t="s">
        <v>792</v>
      </c>
      <c r="AN862" t="s">
        <v>793</v>
      </c>
      <c r="AO862" t="s">
        <v>794</v>
      </c>
      <c r="AP862" t="s">
        <v>74</v>
      </c>
      <c r="AQ862" t="s">
        <v>74</v>
      </c>
      <c r="AR862" t="s">
        <v>795</v>
      </c>
      <c r="AS862" t="s">
        <v>796</v>
      </c>
      <c r="AT862" t="s">
        <v>11316</v>
      </c>
      <c r="AU862">
        <v>2001</v>
      </c>
      <c r="AV862">
        <v>33</v>
      </c>
      <c r="AW862">
        <v>1</v>
      </c>
      <c r="AX862" t="s">
        <v>74</v>
      </c>
      <c r="AY862" t="s">
        <v>74</v>
      </c>
      <c r="AZ862" t="s">
        <v>74</v>
      </c>
      <c r="BA862" t="s">
        <v>74</v>
      </c>
      <c r="BB862">
        <v>78</v>
      </c>
      <c r="BC862">
        <v>87</v>
      </c>
      <c r="BD862" t="s">
        <v>74</v>
      </c>
      <c r="BE862" t="s">
        <v>11529</v>
      </c>
      <c r="BF862" t="str">
        <f>HYPERLINK("http://dx.doi.org/10.2307/1552280","http://dx.doi.org/10.2307/1552280")</f>
        <v>http://dx.doi.org/10.2307/1552280</v>
      </c>
      <c r="BG862" t="s">
        <v>74</v>
      </c>
      <c r="BH862" t="s">
        <v>74</v>
      </c>
      <c r="BI862">
        <v>10</v>
      </c>
      <c r="BJ862" t="s">
        <v>798</v>
      </c>
      <c r="BK862" t="s">
        <v>88</v>
      </c>
      <c r="BL862" t="s">
        <v>799</v>
      </c>
      <c r="BM862" t="s">
        <v>11439</v>
      </c>
      <c r="BN862" t="s">
        <v>74</v>
      </c>
      <c r="BO862" t="s">
        <v>74</v>
      </c>
      <c r="BP862" t="s">
        <v>74</v>
      </c>
      <c r="BQ862" t="s">
        <v>74</v>
      </c>
      <c r="BR862" t="s">
        <v>91</v>
      </c>
      <c r="BS862" t="s">
        <v>11530</v>
      </c>
      <c r="BT862" t="str">
        <f>HYPERLINK("https%3A%2F%2Fwww.webofscience.com%2Fwos%2Fwoscc%2Ffull-record%2FWOS:000167381500010","View Full Record in Web of Science")</f>
        <v>View Full Record in Web of Science</v>
      </c>
    </row>
    <row r="863" spans="1:72" x14ac:dyDescent="0.15">
      <c r="A863" t="s">
        <v>72</v>
      </c>
      <c r="B863" t="s">
        <v>11531</v>
      </c>
      <c r="C863" t="s">
        <v>74</v>
      </c>
      <c r="D863" t="s">
        <v>74</v>
      </c>
      <c r="E863" t="s">
        <v>74</v>
      </c>
      <c r="F863" t="s">
        <v>11531</v>
      </c>
      <c r="G863" t="s">
        <v>74</v>
      </c>
      <c r="H863" t="s">
        <v>74</v>
      </c>
      <c r="I863" t="s">
        <v>11532</v>
      </c>
      <c r="J863" t="s">
        <v>784</v>
      </c>
      <c r="K863" t="s">
        <v>74</v>
      </c>
      <c r="L863" t="s">
        <v>74</v>
      </c>
      <c r="M863" t="s">
        <v>77</v>
      </c>
      <c r="N863" t="s">
        <v>120</v>
      </c>
      <c r="O863" t="s">
        <v>74</v>
      </c>
      <c r="P863" t="s">
        <v>74</v>
      </c>
      <c r="Q863" t="s">
        <v>74</v>
      </c>
      <c r="R863" t="s">
        <v>74</v>
      </c>
      <c r="S863" t="s">
        <v>74</v>
      </c>
      <c r="T863" t="s">
        <v>74</v>
      </c>
      <c r="U863" t="s">
        <v>11533</v>
      </c>
      <c r="V863" t="s">
        <v>11534</v>
      </c>
      <c r="W863" t="s">
        <v>11535</v>
      </c>
      <c r="X863" t="s">
        <v>11536</v>
      </c>
      <c r="Y863" t="s">
        <v>11537</v>
      </c>
      <c r="Z863" t="s">
        <v>11538</v>
      </c>
      <c r="AA863" t="s">
        <v>11539</v>
      </c>
      <c r="AB863" t="s">
        <v>11540</v>
      </c>
      <c r="AC863" t="s">
        <v>74</v>
      </c>
      <c r="AD863" t="s">
        <v>74</v>
      </c>
      <c r="AE863" t="s">
        <v>74</v>
      </c>
      <c r="AF863" t="s">
        <v>74</v>
      </c>
      <c r="AG863">
        <v>35</v>
      </c>
      <c r="AH863">
        <v>23</v>
      </c>
      <c r="AI863">
        <v>28</v>
      </c>
      <c r="AJ863">
        <v>1</v>
      </c>
      <c r="AK863">
        <v>20</v>
      </c>
      <c r="AL863" t="s">
        <v>791</v>
      </c>
      <c r="AM863" t="s">
        <v>792</v>
      </c>
      <c r="AN863" t="s">
        <v>793</v>
      </c>
      <c r="AO863" t="s">
        <v>794</v>
      </c>
      <c r="AP863" t="s">
        <v>74</v>
      </c>
      <c r="AQ863" t="s">
        <v>74</v>
      </c>
      <c r="AR863" t="s">
        <v>795</v>
      </c>
      <c r="AS863" t="s">
        <v>796</v>
      </c>
      <c r="AT863" t="s">
        <v>11316</v>
      </c>
      <c r="AU863">
        <v>2001</v>
      </c>
      <c r="AV863">
        <v>33</v>
      </c>
      <c r="AW863">
        <v>1</v>
      </c>
      <c r="AX863" t="s">
        <v>74</v>
      </c>
      <c r="AY863" t="s">
        <v>74</v>
      </c>
      <c r="AZ863" t="s">
        <v>74</v>
      </c>
      <c r="BA863" t="s">
        <v>74</v>
      </c>
      <c r="BB863">
        <v>88</v>
      </c>
      <c r="BC863">
        <v>92</v>
      </c>
      <c r="BD863" t="s">
        <v>74</v>
      </c>
      <c r="BE863" t="s">
        <v>11541</v>
      </c>
      <c r="BF863" t="str">
        <f>HYPERLINK("http://dx.doi.org/10.2307/1552281","http://dx.doi.org/10.2307/1552281")</f>
        <v>http://dx.doi.org/10.2307/1552281</v>
      </c>
      <c r="BG863" t="s">
        <v>74</v>
      </c>
      <c r="BH863" t="s">
        <v>74</v>
      </c>
      <c r="BI863">
        <v>5</v>
      </c>
      <c r="BJ863" t="s">
        <v>798</v>
      </c>
      <c r="BK863" t="s">
        <v>88</v>
      </c>
      <c r="BL863" t="s">
        <v>799</v>
      </c>
      <c r="BM863" t="s">
        <v>11439</v>
      </c>
      <c r="BN863" t="s">
        <v>74</v>
      </c>
      <c r="BO863" t="s">
        <v>171</v>
      </c>
      <c r="BP863" t="s">
        <v>74</v>
      </c>
      <c r="BQ863" t="s">
        <v>74</v>
      </c>
      <c r="BR863" t="s">
        <v>91</v>
      </c>
      <c r="BS863" t="s">
        <v>11542</v>
      </c>
      <c r="BT863" t="str">
        <f>HYPERLINK("https%3A%2F%2Fwww.webofscience.com%2Fwos%2Fwoscc%2Ffull-record%2FWOS:000167381500011","View Full Record in Web of Science")</f>
        <v>View Full Record in Web of Science</v>
      </c>
    </row>
    <row r="864" spans="1:72" x14ac:dyDescent="0.15">
      <c r="A864" t="s">
        <v>72</v>
      </c>
      <c r="B864" t="s">
        <v>11543</v>
      </c>
      <c r="C864" t="s">
        <v>74</v>
      </c>
      <c r="D864" t="s">
        <v>74</v>
      </c>
      <c r="E864" t="s">
        <v>74</v>
      </c>
      <c r="F864" t="s">
        <v>11543</v>
      </c>
      <c r="G864" t="s">
        <v>74</v>
      </c>
      <c r="H864" t="s">
        <v>74</v>
      </c>
      <c r="I864" t="s">
        <v>11544</v>
      </c>
      <c r="J864" t="s">
        <v>784</v>
      </c>
      <c r="K864" t="s">
        <v>74</v>
      </c>
      <c r="L864" t="s">
        <v>74</v>
      </c>
      <c r="M864" t="s">
        <v>77</v>
      </c>
      <c r="N864" t="s">
        <v>120</v>
      </c>
      <c r="O864" t="s">
        <v>74</v>
      </c>
      <c r="P864" t="s">
        <v>74</v>
      </c>
      <c r="Q864" t="s">
        <v>74</v>
      </c>
      <c r="R864" t="s">
        <v>74</v>
      </c>
      <c r="S864" t="s">
        <v>74</v>
      </c>
      <c r="T864" t="s">
        <v>74</v>
      </c>
      <c r="U864" t="s">
        <v>11545</v>
      </c>
      <c r="V864" t="s">
        <v>11546</v>
      </c>
      <c r="W864" t="s">
        <v>11547</v>
      </c>
      <c r="X864" t="s">
        <v>11548</v>
      </c>
      <c r="Y864" t="s">
        <v>11549</v>
      </c>
      <c r="Z864" t="s">
        <v>11550</v>
      </c>
      <c r="AA864" t="s">
        <v>74</v>
      </c>
      <c r="AB864" t="s">
        <v>74</v>
      </c>
      <c r="AC864" t="s">
        <v>74</v>
      </c>
      <c r="AD864" t="s">
        <v>74</v>
      </c>
      <c r="AE864" t="s">
        <v>74</v>
      </c>
      <c r="AF864" t="s">
        <v>74</v>
      </c>
      <c r="AG864">
        <v>29</v>
      </c>
      <c r="AH864">
        <v>31</v>
      </c>
      <c r="AI864">
        <v>33</v>
      </c>
      <c r="AJ864">
        <v>2</v>
      </c>
      <c r="AK864">
        <v>41</v>
      </c>
      <c r="AL864" t="s">
        <v>104</v>
      </c>
      <c r="AM864" t="s">
        <v>105</v>
      </c>
      <c r="AN864" t="s">
        <v>106</v>
      </c>
      <c r="AO864" t="s">
        <v>794</v>
      </c>
      <c r="AP864" t="s">
        <v>814</v>
      </c>
      <c r="AQ864" t="s">
        <v>74</v>
      </c>
      <c r="AR864" t="s">
        <v>795</v>
      </c>
      <c r="AS864" t="s">
        <v>796</v>
      </c>
      <c r="AT864" t="s">
        <v>11316</v>
      </c>
      <c r="AU864">
        <v>2001</v>
      </c>
      <c r="AV864">
        <v>33</v>
      </c>
      <c r="AW864">
        <v>1</v>
      </c>
      <c r="AX864" t="s">
        <v>74</v>
      </c>
      <c r="AY864" t="s">
        <v>74</v>
      </c>
      <c r="AZ864" t="s">
        <v>74</v>
      </c>
      <c r="BA864" t="s">
        <v>74</v>
      </c>
      <c r="BB864">
        <v>93</v>
      </c>
      <c r="BC864">
        <v>99</v>
      </c>
      <c r="BD864" t="s">
        <v>74</v>
      </c>
      <c r="BE864" t="s">
        <v>11551</v>
      </c>
      <c r="BF864" t="str">
        <f>HYPERLINK("http://dx.doi.org/10.2307/1552282","http://dx.doi.org/10.2307/1552282")</f>
        <v>http://dx.doi.org/10.2307/1552282</v>
      </c>
      <c r="BG864" t="s">
        <v>74</v>
      </c>
      <c r="BH864" t="s">
        <v>74</v>
      </c>
      <c r="BI864">
        <v>7</v>
      </c>
      <c r="BJ864" t="s">
        <v>798</v>
      </c>
      <c r="BK864" t="s">
        <v>88</v>
      </c>
      <c r="BL864" t="s">
        <v>799</v>
      </c>
      <c r="BM864" t="s">
        <v>11439</v>
      </c>
      <c r="BN864" t="s">
        <v>74</v>
      </c>
      <c r="BO864" t="s">
        <v>74</v>
      </c>
      <c r="BP864" t="s">
        <v>74</v>
      </c>
      <c r="BQ864" t="s">
        <v>74</v>
      </c>
      <c r="BR864" t="s">
        <v>91</v>
      </c>
      <c r="BS864" t="s">
        <v>11552</v>
      </c>
      <c r="BT864" t="str">
        <f>HYPERLINK("https%3A%2F%2Fwww.webofscience.com%2Fwos%2Fwoscc%2Ffull-record%2FWOS:000167381500012","View Full Record in Web of Science")</f>
        <v>View Full Record in Web of Science</v>
      </c>
    </row>
    <row r="865" spans="1:72" x14ac:dyDescent="0.15">
      <c r="A865" t="s">
        <v>72</v>
      </c>
      <c r="B865" t="s">
        <v>11553</v>
      </c>
      <c r="C865" t="s">
        <v>74</v>
      </c>
      <c r="D865" t="s">
        <v>74</v>
      </c>
      <c r="E865" t="s">
        <v>74</v>
      </c>
      <c r="F865" t="s">
        <v>11553</v>
      </c>
      <c r="G865" t="s">
        <v>74</v>
      </c>
      <c r="H865" t="s">
        <v>74</v>
      </c>
      <c r="I865" t="s">
        <v>11554</v>
      </c>
      <c r="J865" t="s">
        <v>784</v>
      </c>
      <c r="K865" t="s">
        <v>74</v>
      </c>
      <c r="L865" t="s">
        <v>74</v>
      </c>
      <c r="M865" t="s">
        <v>77</v>
      </c>
      <c r="N865" t="s">
        <v>120</v>
      </c>
      <c r="O865" t="s">
        <v>74</v>
      </c>
      <c r="P865" t="s">
        <v>74</v>
      </c>
      <c r="Q865" t="s">
        <v>74</v>
      </c>
      <c r="R865" t="s">
        <v>74</v>
      </c>
      <c r="S865" t="s">
        <v>74</v>
      </c>
      <c r="T865" t="s">
        <v>74</v>
      </c>
      <c r="U865" t="s">
        <v>11555</v>
      </c>
      <c r="V865" t="s">
        <v>11556</v>
      </c>
      <c r="W865" t="s">
        <v>11557</v>
      </c>
      <c r="X865" t="s">
        <v>11558</v>
      </c>
      <c r="Y865" t="s">
        <v>11559</v>
      </c>
      <c r="Z865" t="s">
        <v>74</v>
      </c>
      <c r="AA865" t="s">
        <v>11560</v>
      </c>
      <c r="AB865" t="s">
        <v>74</v>
      </c>
      <c r="AC865" t="s">
        <v>74</v>
      </c>
      <c r="AD865" t="s">
        <v>74</v>
      </c>
      <c r="AE865" t="s">
        <v>74</v>
      </c>
      <c r="AF865" t="s">
        <v>74</v>
      </c>
      <c r="AG865">
        <v>19</v>
      </c>
      <c r="AH865">
        <v>87</v>
      </c>
      <c r="AI865">
        <v>102</v>
      </c>
      <c r="AJ865">
        <v>2</v>
      </c>
      <c r="AK865">
        <v>61</v>
      </c>
      <c r="AL865" t="s">
        <v>791</v>
      </c>
      <c r="AM865" t="s">
        <v>792</v>
      </c>
      <c r="AN865" t="s">
        <v>793</v>
      </c>
      <c r="AO865" t="s">
        <v>794</v>
      </c>
      <c r="AP865" t="s">
        <v>74</v>
      </c>
      <c r="AQ865" t="s">
        <v>74</v>
      </c>
      <c r="AR865" t="s">
        <v>795</v>
      </c>
      <c r="AS865" t="s">
        <v>796</v>
      </c>
      <c r="AT865" t="s">
        <v>11316</v>
      </c>
      <c r="AU865">
        <v>2001</v>
      </c>
      <c r="AV865">
        <v>33</v>
      </c>
      <c r="AW865">
        <v>1</v>
      </c>
      <c r="AX865" t="s">
        <v>74</v>
      </c>
      <c r="AY865" t="s">
        <v>74</v>
      </c>
      <c r="AZ865" t="s">
        <v>74</v>
      </c>
      <c r="BA865" t="s">
        <v>74</v>
      </c>
      <c r="BB865">
        <v>100</v>
      </c>
      <c r="BC865">
        <v>106</v>
      </c>
      <c r="BD865" t="s">
        <v>74</v>
      </c>
      <c r="BE865" t="s">
        <v>11561</v>
      </c>
      <c r="BF865" t="str">
        <f>HYPERLINK("http://dx.doi.org/10.2307/1552283","http://dx.doi.org/10.2307/1552283")</f>
        <v>http://dx.doi.org/10.2307/1552283</v>
      </c>
      <c r="BG865" t="s">
        <v>74</v>
      </c>
      <c r="BH865" t="s">
        <v>74</v>
      </c>
      <c r="BI865">
        <v>7</v>
      </c>
      <c r="BJ865" t="s">
        <v>798</v>
      </c>
      <c r="BK865" t="s">
        <v>88</v>
      </c>
      <c r="BL865" t="s">
        <v>799</v>
      </c>
      <c r="BM865" t="s">
        <v>11439</v>
      </c>
      <c r="BN865" t="s">
        <v>74</v>
      </c>
      <c r="BO865" t="s">
        <v>171</v>
      </c>
      <c r="BP865" t="s">
        <v>74</v>
      </c>
      <c r="BQ865" t="s">
        <v>74</v>
      </c>
      <c r="BR865" t="s">
        <v>91</v>
      </c>
      <c r="BS865" t="s">
        <v>11562</v>
      </c>
      <c r="BT865" t="str">
        <f>HYPERLINK("https%3A%2F%2Fwww.webofscience.com%2Fwos%2Fwoscc%2Ffull-record%2FWOS:000167381500013","View Full Record in Web of Science")</f>
        <v>View Full Record in Web of Science</v>
      </c>
    </row>
    <row r="866" spans="1:72" x14ac:dyDescent="0.15">
      <c r="A866" t="s">
        <v>72</v>
      </c>
      <c r="B866" t="s">
        <v>11563</v>
      </c>
      <c r="C866" t="s">
        <v>74</v>
      </c>
      <c r="D866" t="s">
        <v>74</v>
      </c>
      <c r="E866" t="s">
        <v>74</v>
      </c>
      <c r="F866" t="s">
        <v>11563</v>
      </c>
      <c r="G866" t="s">
        <v>74</v>
      </c>
      <c r="H866" t="s">
        <v>74</v>
      </c>
      <c r="I866" t="s">
        <v>11564</v>
      </c>
      <c r="J866" t="s">
        <v>784</v>
      </c>
      <c r="K866" t="s">
        <v>74</v>
      </c>
      <c r="L866" t="s">
        <v>74</v>
      </c>
      <c r="M866" t="s">
        <v>77</v>
      </c>
      <c r="N866" t="s">
        <v>120</v>
      </c>
      <c r="O866" t="s">
        <v>74</v>
      </c>
      <c r="P866" t="s">
        <v>74</v>
      </c>
      <c r="Q866" t="s">
        <v>74</v>
      </c>
      <c r="R866" t="s">
        <v>74</v>
      </c>
      <c r="S866" t="s">
        <v>74</v>
      </c>
      <c r="T866" t="s">
        <v>74</v>
      </c>
      <c r="U866" t="s">
        <v>11565</v>
      </c>
      <c r="V866" t="s">
        <v>11566</v>
      </c>
      <c r="W866" t="s">
        <v>11567</v>
      </c>
      <c r="X866" t="s">
        <v>11568</v>
      </c>
      <c r="Y866" t="s">
        <v>11569</v>
      </c>
      <c r="Z866" t="s">
        <v>74</v>
      </c>
      <c r="AA866" t="s">
        <v>74</v>
      </c>
      <c r="AB866" t="s">
        <v>74</v>
      </c>
      <c r="AC866" t="s">
        <v>74</v>
      </c>
      <c r="AD866" t="s">
        <v>74</v>
      </c>
      <c r="AE866" t="s">
        <v>74</v>
      </c>
      <c r="AF866" t="s">
        <v>74</v>
      </c>
      <c r="AG866">
        <v>15</v>
      </c>
      <c r="AH866">
        <v>14</v>
      </c>
      <c r="AI866">
        <v>15</v>
      </c>
      <c r="AJ866">
        <v>0</v>
      </c>
      <c r="AK866">
        <v>22</v>
      </c>
      <c r="AL866" t="s">
        <v>791</v>
      </c>
      <c r="AM866" t="s">
        <v>792</v>
      </c>
      <c r="AN866" t="s">
        <v>793</v>
      </c>
      <c r="AO866" t="s">
        <v>794</v>
      </c>
      <c r="AP866" t="s">
        <v>74</v>
      </c>
      <c r="AQ866" t="s">
        <v>74</v>
      </c>
      <c r="AR866" t="s">
        <v>795</v>
      </c>
      <c r="AS866" t="s">
        <v>796</v>
      </c>
      <c r="AT866" t="s">
        <v>11316</v>
      </c>
      <c r="AU866">
        <v>2001</v>
      </c>
      <c r="AV866">
        <v>33</v>
      </c>
      <c r="AW866">
        <v>1</v>
      </c>
      <c r="AX866" t="s">
        <v>74</v>
      </c>
      <c r="AY866" t="s">
        <v>74</v>
      </c>
      <c r="AZ866" t="s">
        <v>74</v>
      </c>
      <c r="BA866" t="s">
        <v>74</v>
      </c>
      <c r="BB866">
        <v>107</v>
      </c>
      <c r="BC866">
        <v>113</v>
      </c>
      <c r="BD866" t="s">
        <v>74</v>
      </c>
      <c r="BE866" t="s">
        <v>11570</v>
      </c>
      <c r="BF866" t="str">
        <f>HYPERLINK("http://dx.doi.org/10.2307/1552284","http://dx.doi.org/10.2307/1552284")</f>
        <v>http://dx.doi.org/10.2307/1552284</v>
      </c>
      <c r="BG866" t="s">
        <v>74</v>
      </c>
      <c r="BH866" t="s">
        <v>74</v>
      </c>
      <c r="BI866">
        <v>7</v>
      </c>
      <c r="BJ866" t="s">
        <v>798</v>
      </c>
      <c r="BK866" t="s">
        <v>88</v>
      </c>
      <c r="BL866" t="s">
        <v>799</v>
      </c>
      <c r="BM866" t="s">
        <v>11439</v>
      </c>
      <c r="BN866" t="s">
        <v>74</v>
      </c>
      <c r="BO866" t="s">
        <v>74</v>
      </c>
      <c r="BP866" t="s">
        <v>74</v>
      </c>
      <c r="BQ866" t="s">
        <v>74</v>
      </c>
      <c r="BR866" t="s">
        <v>91</v>
      </c>
      <c r="BS866" t="s">
        <v>11571</v>
      </c>
      <c r="BT866" t="str">
        <f>HYPERLINK("https%3A%2F%2Fwww.webofscience.com%2Fwos%2Fwoscc%2Ffull-record%2FWOS:000167381500014","View Full Record in Web of Science")</f>
        <v>View Full Record in Web of Science</v>
      </c>
    </row>
    <row r="867" spans="1:72" x14ac:dyDescent="0.15">
      <c r="A867" t="s">
        <v>72</v>
      </c>
      <c r="B867" t="s">
        <v>11572</v>
      </c>
      <c r="C867" t="s">
        <v>74</v>
      </c>
      <c r="D867" t="s">
        <v>74</v>
      </c>
      <c r="E867" t="s">
        <v>74</v>
      </c>
      <c r="F867" t="s">
        <v>11572</v>
      </c>
      <c r="G867" t="s">
        <v>74</v>
      </c>
      <c r="H867" t="s">
        <v>74</v>
      </c>
      <c r="I867" t="s">
        <v>11573</v>
      </c>
      <c r="J867" t="s">
        <v>11574</v>
      </c>
      <c r="K867" t="s">
        <v>74</v>
      </c>
      <c r="L867" t="s">
        <v>74</v>
      </c>
      <c r="M867" t="s">
        <v>77</v>
      </c>
      <c r="N867" t="s">
        <v>120</v>
      </c>
      <c r="O867" t="s">
        <v>74</v>
      </c>
      <c r="P867" t="s">
        <v>74</v>
      </c>
      <c r="Q867" t="s">
        <v>74</v>
      </c>
      <c r="R867" t="s">
        <v>74</v>
      </c>
      <c r="S867" t="s">
        <v>74</v>
      </c>
      <c r="T867" t="s">
        <v>74</v>
      </c>
      <c r="U867" t="s">
        <v>11575</v>
      </c>
      <c r="V867" t="s">
        <v>11576</v>
      </c>
      <c r="W867" t="s">
        <v>11577</v>
      </c>
      <c r="X867" t="s">
        <v>1679</v>
      </c>
      <c r="Y867" t="s">
        <v>74</v>
      </c>
      <c r="Z867" t="s">
        <v>9657</v>
      </c>
      <c r="AA867" t="s">
        <v>2775</v>
      </c>
      <c r="AB867" t="s">
        <v>11578</v>
      </c>
      <c r="AC867" t="s">
        <v>74</v>
      </c>
      <c r="AD867" t="s">
        <v>74</v>
      </c>
      <c r="AE867" t="s">
        <v>74</v>
      </c>
      <c r="AF867" t="s">
        <v>74</v>
      </c>
      <c r="AG867">
        <v>47</v>
      </c>
      <c r="AH867">
        <v>30</v>
      </c>
      <c r="AI867">
        <v>32</v>
      </c>
      <c r="AJ867">
        <v>3</v>
      </c>
      <c r="AK867">
        <v>30</v>
      </c>
      <c r="AL867" t="s">
        <v>10606</v>
      </c>
      <c r="AM867" t="s">
        <v>10607</v>
      </c>
      <c r="AN867" t="s">
        <v>10608</v>
      </c>
      <c r="AO867" t="s">
        <v>11579</v>
      </c>
      <c r="AP867" t="s">
        <v>11580</v>
      </c>
      <c r="AQ867" t="s">
        <v>74</v>
      </c>
      <c r="AR867" t="s">
        <v>11581</v>
      </c>
      <c r="AS867" t="s">
        <v>11582</v>
      </c>
      <c r="AT867" t="s">
        <v>11316</v>
      </c>
      <c r="AU867">
        <v>2001</v>
      </c>
      <c r="AV867">
        <v>200</v>
      </c>
      <c r="AW867">
        <v>1</v>
      </c>
      <c r="AX867" t="s">
        <v>74</v>
      </c>
      <c r="AY867" t="s">
        <v>74</v>
      </c>
      <c r="AZ867" t="s">
        <v>74</v>
      </c>
      <c r="BA867" t="s">
        <v>74</v>
      </c>
      <c r="BB867">
        <v>67</v>
      </c>
      <c r="BC867">
        <v>76</v>
      </c>
      <c r="BD867" t="s">
        <v>74</v>
      </c>
      <c r="BE867" t="s">
        <v>11583</v>
      </c>
      <c r="BF867" t="str">
        <f>HYPERLINK("http://dx.doi.org/10.2307/1543086","http://dx.doi.org/10.2307/1543086")</f>
        <v>http://dx.doi.org/10.2307/1543086</v>
      </c>
      <c r="BG867" t="s">
        <v>74</v>
      </c>
      <c r="BH867" t="s">
        <v>74</v>
      </c>
      <c r="BI867">
        <v>10</v>
      </c>
      <c r="BJ867" t="s">
        <v>11584</v>
      </c>
      <c r="BK867" t="s">
        <v>88</v>
      </c>
      <c r="BL867" t="s">
        <v>11585</v>
      </c>
      <c r="BM867" t="s">
        <v>11586</v>
      </c>
      <c r="BN867">
        <v>11249213</v>
      </c>
      <c r="BO867" t="s">
        <v>11587</v>
      </c>
      <c r="BP867" t="s">
        <v>74</v>
      </c>
      <c r="BQ867" t="s">
        <v>74</v>
      </c>
      <c r="BR867" t="s">
        <v>91</v>
      </c>
      <c r="BS867" t="s">
        <v>11588</v>
      </c>
      <c r="BT867" t="str">
        <f>HYPERLINK("https%3A%2F%2Fwww.webofscience.com%2Fwos%2Fwoscc%2Ffull-record%2FWOS:000167261900007","View Full Record in Web of Science")</f>
        <v>View Full Record in Web of Science</v>
      </c>
    </row>
    <row r="868" spans="1:72" x14ac:dyDescent="0.15">
      <c r="A868" t="s">
        <v>72</v>
      </c>
      <c r="B868" t="s">
        <v>11589</v>
      </c>
      <c r="C868" t="s">
        <v>74</v>
      </c>
      <c r="D868" t="s">
        <v>74</v>
      </c>
      <c r="E868" t="s">
        <v>74</v>
      </c>
      <c r="F868" t="s">
        <v>11589</v>
      </c>
      <c r="G868" t="s">
        <v>74</v>
      </c>
      <c r="H868" t="s">
        <v>74</v>
      </c>
      <c r="I868" t="s">
        <v>11590</v>
      </c>
      <c r="J868" t="s">
        <v>11591</v>
      </c>
      <c r="K868" t="s">
        <v>74</v>
      </c>
      <c r="L868" t="s">
        <v>74</v>
      </c>
      <c r="M868" t="s">
        <v>77</v>
      </c>
      <c r="N868" t="s">
        <v>120</v>
      </c>
      <c r="O868" t="s">
        <v>74</v>
      </c>
      <c r="P868" t="s">
        <v>74</v>
      </c>
      <c r="Q868" t="s">
        <v>74</v>
      </c>
      <c r="R868" t="s">
        <v>74</v>
      </c>
      <c r="S868" t="s">
        <v>74</v>
      </c>
      <c r="T868" t="s">
        <v>74</v>
      </c>
      <c r="U868" t="s">
        <v>11592</v>
      </c>
      <c r="V868" t="s">
        <v>11593</v>
      </c>
      <c r="W868" t="s">
        <v>11594</v>
      </c>
      <c r="X868" t="s">
        <v>11595</v>
      </c>
      <c r="Y868" t="s">
        <v>11596</v>
      </c>
      <c r="Z868" t="s">
        <v>11597</v>
      </c>
      <c r="AA868" t="s">
        <v>74</v>
      </c>
      <c r="AB868" t="s">
        <v>74</v>
      </c>
      <c r="AC868" t="s">
        <v>74</v>
      </c>
      <c r="AD868" t="s">
        <v>74</v>
      </c>
      <c r="AE868" t="s">
        <v>74</v>
      </c>
      <c r="AF868" t="s">
        <v>74</v>
      </c>
      <c r="AG868">
        <v>33</v>
      </c>
      <c r="AH868">
        <v>6</v>
      </c>
      <c r="AI868">
        <v>6</v>
      </c>
      <c r="AJ868">
        <v>0</v>
      </c>
      <c r="AK868">
        <v>5</v>
      </c>
      <c r="AL868" t="s">
        <v>6914</v>
      </c>
      <c r="AM868" t="s">
        <v>5802</v>
      </c>
      <c r="AN868" t="s">
        <v>5803</v>
      </c>
      <c r="AO868" t="s">
        <v>11598</v>
      </c>
      <c r="AP868" t="s">
        <v>11599</v>
      </c>
      <c r="AQ868" t="s">
        <v>74</v>
      </c>
      <c r="AR868" t="s">
        <v>11600</v>
      </c>
      <c r="AS868" t="s">
        <v>11601</v>
      </c>
      <c r="AT868" t="s">
        <v>11316</v>
      </c>
      <c r="AU868">
        <v>2001</v>
      </c>
      <c r="AV868">
        <v>58</v>
      </c>
      <c r="AW868">
        <v>2</v>
      </c>
      <c r="AX868" t="s">
        <v>74</v>
      </c>
      <c r="AY868" t="s">
        <v>74</v>
      </c>
      <c r="AZ868" t="s">
        <v>74</v>
      </c>
      <c r="BA868" t="s">
        <v>74</v>
      </c>
      <c r="BB868">
        <v>273</v>
      </c>
      <c r="BC868">
        <v>281</v>
      </c>
      <c r="BD868" t="s">
        <v>74</v>
      </c>
      <c r="BE868" t="s">
        <v>11602</v>
      </c>
      <c r="BF868" t="str">
        <f>HYPERLINK("http://dx.doi.org/10.1139/cjfas-58-2-273","http://dx.doi.org/10.1139/cjfas-58-2-273")</f>
        <v>http://dx.doi.org/10.1139/cjfas-58-2-273</v>
      </c>
      <c r="BG868" t="s">
        <v>74</v>
      </c>
      <c r="BH868" t="s">
        <v>74</v>
      </c>
      <c r="BI868">
        <v>9</v>
      </c>
      <c r="BJ868" t="s">
        <v>1255</v>
      </c>
      <c r="BK868" t="s">
        <v>88</v>
      </c>
      <c r="BL868" t="s">
        <v>1255</v>
      </c>
      <c r="BM868" t="s">
        <v>11603</v>
      </c>
      <c r="BN868" t="s">
        <v>74</v>
      </c>
      <c r="BO868" t="s">
        <v>74</v>
      </c>
      <c r="BP868" t="s">
        <v>74</v>
      </c>
      <c r="BQ868" t="s">
        <v>74</v>
      </c>
      <c r="BR868" t="s">
        <v>91</v>
      </c>
      <c r="BS868" t="s">
        <v>11604</v>
      </c>
      <c r="BT868" t="str">
        <f>HYPERLINK("https%3A%2F%2Fwww.webofscience.com%2Fwos%2Fwoscc%2Ffull-record%2FWOS:000166837700005","View Full Record in Web of Science")</f>
        <v>View Full Record in Web of Science</v>
      </c>
    </row>
    <row r="869" spans="1:72" x14ac:dyDescent="0.15">
      <c r="A869" t="s">
        <v>72</v>
      </c>
      <c r="B869" t="s">
        <v>11605</v>
      </c>
      <c r="C869" t="s">
        <v>74</v>
      </c>
      <c r="D869" t="s">
        <v>74</v>
      </c>
      <c r="E869" t="s">
        <v>74</v>
      </c>
      <c r="F869" t="s">
        <v>11605</v>
      </c>
      <c r="G869" t="s">
        <v>74</v>
      </c>
      <c r="H869" t="s">
        <v>74</v>
      </c>
      <c r="I869" t="s">
        <v>11606</v>
      </c>
      <c r="J869" t="s">
        <v>9227</v>
      </c>
      <c r="K869" t="s">
        <v>74</v>
      </c>
      <c r="L869" t="s">
        <v>74</v>
      </c>
      <c r="M869" t="s">
        <v>77</v>
      </c>
      <c r="N869" t="s">
        <v>120</v>
      </c>
      <c r="O869" t="s">
        <v>74</v>
      </c>
      <c r="P869" t="s">
        <v>74</v>
      </c>
      <c r="Q869" t="s">
        <v>74</v>
      </c>
      <c r="R869" t="s">
        <v>74</v>
      </c>
      <c r="S869" t="s">
        <v>74</v>
      </c>
      <c r="T869" t="s">
        <v>74</v>
      </c>
      <c r="U869" t="s">
        <v>11607</v>
      </c>
      <c r="V869" t="s">
        <v>11608</v>
      </c>
      <c r="W869" t="s">
        <v>11609</v>
      </c>
      <c r="X869" t="s">
        <v>11610</v>
      </c>
      <c r="Y869" t="s">
        <v>11611</v>
      </c>
      <c r="Z869" t="s">
        <v>74</v>
      </c>
      <c r="AA869" t="s">
        <v>11612</v>
      </c>
      <c r="AB869" t="s">
        <v>11613</v>
      </c>
      <c r="AC869" t="s">
        <v>74</v>
      </c>
      <c r="AD869" t="s">
        <v>74</v>
      </c>
      <c r="AE869" t="s">
        <v>74</v>
      </c>
      <c r="AF869" t="s">
        <v>74</v>
      </c>
      <c r="AG869">
        <v>28</v>
      </c>
      <c r="AH869">
        <v>36</v>
      </c>
      <c r="AI869">
        <v>47</v>
      </c>
      <c r="AJ869">
        <v>0</v>
      </c>
      <c r="AK869">
        <v>7</v>
      </c>
      <c r="AL869" t="s">
        <v>203</v>
      </c>
      <c r="AM869" t="s">
        <v>204</v>
      </c>
      <c r="AN869" t="s">
        <v>205</v>
      </c>
      <c r="AO869" t="s">
        <v>9235</v>
      </c>
      <c r="AP869" t="s">
        <v>74</v>
      </c>
      <c r="AQ869" t="s">
        <v>74</v>
      </c>
      <c r="AR869" t="s">
        <v>9237</v>
      </c>
      <c r="AS869" t="s">
        <v>9238</v>
      </c>
      <c r="AT869" t="s">
        <v>11316</v>
      </c>
      <c r="AU869">
        <v>2001</v>
      </c>
      <c r="AV869">
        <v>17</v>
      </c>
      <c r="AW869">
        <v>4</v>
      </c>
      <c r="AX869" t="s">
        <v>74</v>
      </c>
      <c r="AY869" t="s">
        <v>74</v>
      </c>
      <c r="AZ869" t="s">
        <v>74</v>
      </c>
      <c r="BA869" t="s">
        <v>74</v>
      </c>
      <c r="BB869">
        <v>291</v>
      </c>
      <c r="BC869">
        <v>304</v>
      </c>
      <c r="BD869" t="s">
        <v>74</v>
      </c>
      <c r="BE869" t="s">
        <v>11614</v>
      </c>
      <c r="BF869" t="str">
        <f>HYPERLINK("http://dx.doi.org/10.1007/s003820000136","http://dx.doi.org/10.1007/s003820000136")</f>
        <v>http://dx.doi.org/10.1007/s003820000136</v>
      </c>
      <c r="BG869" t="s">
        <v>74</v>
      </c>
      <c r="BH869" t="s">
        <v>74</v>
      </c>
      <c r="BI869">
        <v>14</v>
      </c>
      <c r="BJ869" t="s">
        <v>538</v>
      </c>
      <c r="BK869" t="s">
        <v>88</v>
      </c>
      <c r="BL869" t="s">
        <v>538</v>
      </c>
      <c r="BM869" t="s">
        <v>11615</v>
      </c>
      <c r="BN869" t="s">
        <v>74</v>
      </c>
      <c r="BO869" t="s">
        <v>74</v>
      </c>
      <c r="BP869" t="s">
        <v>74</v>
      </c>
      <c r="BQ869" t="s">
        <v>74</v>
      </c>
      <c r="BR869" t="s">
        <v>91</v>
      </c>
      <c r="BS869" t="s">
        <v>11616</v>
      </c>
      <c r="BT869" t="str">
        <f>HYPERLINK("https%3A%2F%2Fwww.webofscience.com%2Fwos%2Fwoscc%2Ffull-record%2FWOS:000167003800004","View Full Record in Web of Science")</f>
        <v>View Full Record in Web of Science</v>
      </c>
    </row>
    <row r="870" spans="1:72" x14ac:dyDescent="0.15">
      <c r="A870" t="s">
        <v>72</v>
      </c>
      <c r="B870" t="s">
        <v>11617</v>
      </c>
      <c r="C870" t="s">
        <v>74</v>
      </c>
      <c r="D870" t="s">
        <v>74</v>
      </c>
      <c r="E870" t="s">
        <v>74</v>
      </c>
      <c r="F870" t="s">
        <v>11617</v>
      </c>
      <c r="G870" t="s">
        <v>74</v>
      </c>
      <c r="H870" t="s">
        <v>74</v>
      </c>
      <c r="I870" t="s">
        <v>11618</v>
      </c>
      <c r="J870" t="s">
        <v>10380</v>
      </c>
      <c r="K870" t="s">
        <v>74</v>
      </c>
      <c r="L870" t="s">
        <v>74</v>
      </c>
      <c r="M870" t="s">
        <v>77</v>
      </c>
      <c r="N870" t="s">
        <v>120</v>
      </c>
      <c r="O870" t="s">
        <v>74</v>
      </c>
      <c r="P870" t="s">
        <v>74</v>
      </c>
      <c r="Q870" t="s">
        <v>74</v>
      </c>
      <c r="R870" t="s">
        <v>74</v>
      </c>
      <c r="S870" t="s">
        <v>74</v>
      </c>
      <c r="T870" t="s">
        <v>11619</v>
      </c>
      <c r="U870" t="s">
        <v>11620</v>
      </c>
      <c r="V870" t="s">
        <v>11621</v>
      </c>
      <c r="W870" t="s">
        <v>11622</v>
      </c>
      <c r="X870" t="s">
        <v>11623</v>
      </c>
      <c r="Y870" t="s">
        <v>11624</v>
      </c>
      <c r="Z870" t="s">
        <v>11625</v>
      </c>
      <c r="AA870" t="s">
        <v>74</v>
      </c>
      <c r="AB870" t="s">
        <v>11626</v>
      </c>
      <c r="AC870" t="s">
        <v>74</v>
      </c>
      <c r="AD870" t="s">
        <v>74</v>
      </c>
      <c r="AE870" t="s">
        <v>74</v>
      </c>
      <c r="AF870" t="s">
        <v>74</v>
      </c>
      <c r="AG870">
        <v>52</v>
      </c>
      <c r="AH870">
        <v>17</v>
      </c>
      <c r="AI870">
        <v>18</v>
      </c>
      <c r="AJ870">
        <v>0</v>
      </c>
      <c r="AK870">
        <v>15</v>
      </c>
      <c r="AL870" t="s">
        <v>4847</v>
      </c>
      <c r="AM870" t="s">
        <v>204</v>
      </c>
      <c r="AN870" t="s">
        <v>10375</v>
      </c>
      <c r="AO870" t="s">
        <v>10390</v>
      </c>
      <c r="AP870" t="s">
        <v>10391</v>
      </c>
      <c r="AQ870" t="s">
        <v>74</v>
      </c>
      <c r="AR870" t="s">
        <v>10392</v>
      </c>
      <c r="AS870" t="s">
        <v>10393</v>
      </c>
      <c r="AT870" t="s">
        <v>11316</v>
      </c>
      <c r="AU870">
        <v>2001</v>
      </c>
      <c r="AV870">
        <v>128</v>
      </c>
      <c r="AW870">
        <v>2</v>
      </c>
      <c r="AX870" t="s">
        <v>74</v>
      </c>
      <c r="AY870" t="s">
        <v>74</v>
      </c>
      <c r="AZ870" t="s">
        <v>74</v>
      </c>
      <c r="BA870" t="s">
        <v>74</v>
      </c>
      <c r="BB870">
        <v>233</v>
      </c>
      <c r="BC870">
        <v>245</v>
      </c>
      <c r="BD870" t="s">
        <v>74</v>
      </c>
      <c r="BE870" t="s">
        <v>11627</v>
      </c>
      <c r="BF870" t="str">
        <f>HYPERLINK("http://dx.doi.org/10.1016/S1096-4959(00)00314-6","http://dx.doi.org/10.1016/S1096-4959(00)00314-6")</f>
        <v>http://dx.doi.org/10.1016/S1096-4959(00)00314-6</v>
      </c>
      <c r="BG870" t="s">
        <v>74</v>
      </c>
      <c r="BH870" t="s">
        <v>74</v>
      </c>
      <c r="BI870">
        <v>13</v>
      </c>
      <c r="BJ870" t="s">
        <v>10395</v>
      </c>
      <c r="BK870" t="s">
        <v>88</v>
      </c>
      <c r="BL870" t="s">
        <v>10395</v>
      </c>
      <c r="BM870" t="s">
        <v>11628</v>
      </c>
      <c r="BN870">
        <v>11207437</v>
      </c>
      <c r="BO870" t="s">
        <v>74</v>
      </c>
      <c r="BP870" t="s">
        <v>74</v>
      </c>
      <c r="BQ870" t="s">
        <v>74</v>
      </c>
      <c r="BR870" t="s">
        <v>91</v>
      </c>
      <c r="BS870" t="s">
        <v>11629</v>
      </c>
      <c r="BT870" t="str">
        <f>HYPERLINK("https%3A%2F%2Fwww.webofscience.com%2Fwos%2Fwoscc%2Ffull-record%2FWOS:000167146000005","View Full Record in Web of Science")</f>
        <v>View Full Record in Web of Science</v>
      </c>
    </row>
    <row r="871" spans="1:72" x14ac:dyDescent="0.15">
      <c r="A871" t="s">
        <v>72</v>
      </c>
      <c r="B871" t="s">
        <v>11630</v>
      </c>
      <c r="C871" t="s">
        <v>74</v>
      </c>
      <c r="D871" t="s">
        <v>74</v>
      </c>
      <c r="E871" t="s">
        <v>74</v>
      </c>
      <c r="F871" t="s">
        <v>11630</v>
      </c>
      <c r="G871" t="s">
        <v>74</v>
      </c>
      <c r="H871" t="s">
        <v>74</v>
      </c>
      <c r="I871" t="s">
        <v>11631</v>
      </c>
      <c r="J871" t="s">
        <v>10380</v>
      </c>
      <c r="K871" t="s">
        <v>74</v>
      </c>
      <c r="L871" t="s">
        <v>74</v>
      </c>
      <c r="M871" t="s">
        <v>77</v>
      </c>
      <c r="N871" t="s">
        <v>120</v>
      </c>
      <c r="O871" t="s">
        <v>74</v>
      </c>
      <c r="P871" t="s">
        <v>74</v>
      </c>
      <c r="Q871" t="s">
        <v>74</v>
      </c>
      <c r="R871" t="s">
        <v>74</v>
      </c>
      <c r="S871" t="s">
        <v>74</v>
      </c>
      <c r="T871" t="s">
        <v>11632</v>
      </c>
      <c r="U871" t="s">
        <v>11633</v>
      </c>
      <c r="V871" t="s">
        <v>11634</v>
      </c>
      <c r="W871" t="s">
        <v>11635</v>
      </c>
      <c r="X871" t="s">
        <v>11636</v>
      </c>
      <c r="Y871" t="s">
        <v>11637</v>
      </c>
      <c r="Z871" t="s">
        <v>74</v>
      </c>
      <c r="AA871" t="s">
        <v>74</v>
      </c>
      <c r="AB871" t="s">
        <v>74</v>
      </c>
      <c r="AC871" t="s">
        <v>74</v>
      </c>
      <c r="AD871" t="s">
        <v>74</v>
      </c>
      <c r="AE871" t="s">
        <v>74</v>
      </c>
      <c r="AF871" t="s">
        <v>74</v>
      </c>
      <c r="AG871">
        <v>26</v>
      </c>
      <c r="AH871">
        <v>51</v>
      </c>
      <c r="AI871">
        <v>62</v>
      </c>
      <c r="AJ871">
        <v>0</v>
      </c>
      <c r="AK871">
        <v>16</v>
      </c>
      <c r="AL871" t="s">
        <v>79</v>
      </c>
      <c r="AM871" t="s">
        <v>80</v>
      </c>
      <c r="AN871" t="s">
        <v>81</v>
      </c>
      <c r="AO871" t="s">
        <v>10390</v>
      </c>
      <c r="AP871" t="s">
        <v>74</v>
      </c>
      <c r="AQ871" t="s">
        <v>74</v>
      </c>
      <c r="AR871" t="s">
        <v>10392</v>
      </c>
      <c r="AS871" t="s">
        <v>10393</v>
      </c>
      <c r="AT871" t="s">
        <v>11316</v>
      </c>
      <c r="AU871">
        <v>2001</v>
      </c>
      <c r="AV871">
        <v>128</v>
      </c>
      <c r="AW871">
        <v>2</v>
      </c>
      <c r="AX871" t="s">
        <v>74</v>
      </c>
      <c r="AY871" t="s">
        <v>74</v>
      </c>
      <c r="AZ871" t="s">
        <v>74</v>
      </c>
      <c r="BA871" t="s">
        <v>74</v>
      </c>
      <c r="BB871">
        <v>265</v>
      </c>
      <c r="BC871">
        <v>273</v>
      </c>
      <c r="BD871" t="s">
        <v>74</v>
      </c>
      <c r="BE871" t="s">
        <v>11638</v>
      </c>
      <c r="BF871" t="str">
        <f>HYPERLINK("http://dx.doi.org/10.1016/S1096-4959(00)00323-7","http://dx.doi.org/10.1016/S1096-4959(00)00323-7")</f>
        <v>http://dx.doi.org/10.1016/S1096-4959(00)00323-7</v>
      </c>
      <c r="BG871" t="s">
        <v>74</v>
      </c>
      <c r="BH871" t="s">
        <v>74</v>
      </c>
      <c r="BI871">
        <v>9</v>
      </c>
      <c r="BJ871" t="s">
        <v>10395</v>
      </c>
      <c r="BK871" t="s">
        <v>88</v>
      </c>
      <c r="BL871" t="s">
        <v>10395</v>
      </c>
      <c r="BM871" t="s">
        <v>11628</v>
      </c>
      <c r="BN871">
        <v>11207440</v>
      </c>
      <c r="BO871" t="s">
        <v>74</v>
      </c>
      <c r="BP871" t="s">
        <v>74</v>
      </c>
      <c r="BQ871" t="s">
        <v>74</v>
      </c>
      <c r="BR871" t="s">
        <v>91</v>
      </c>
      <c r="BS871" t="s">
        <v>11639</v>
      </c>
      <c r="BT871" t="str">
        <f>HYPERLINK("https%3A%2F%2Fwww.webofscience.com%2Fwos%2Fwoscc%2Ffull-record%2FWOS:000167146000008","View Full Record in Web of Science")</f>
        <v>View Full Record in Web of Science</v>
      </c>
    </row>
    <row r="872" spans="1:72" x14ac:dyDescent="0.15">
      <c r="A872" t="s">
        <v>72</v>
      </c>
      <c r="B872" t="s">
        <v>11640</v>
      </c>
      <c r="C872" t="s">
        <v>74</v>
      </c>
      <c r="D872" t="s">
        <v>74</v>
      </c>
      <c r="E872" t="s">
        <v>74</v>
      </c>
      <c r="F872" t="s">
        <v>11640</v>
      </c>
      <c r="G872" t="s">
        <v>74</v>
      </c>
      <c r="H872" t="s">
        <v>74</v>
      </c>
      <c r="I872" t="s">
        <v>11641</v>
      </c>
      <c r="J872" t="s">
        <v>10380</v>
      </c>
      <c r="K872" t="s">
        <v>74</v>
      </c>
      <c r="L872" t="s">
        <v>74</v>
      </c>
      <c r="M872" t="s">
        <v>77</v>
      </c>
      <c r="N872" t="s">
        <v>120</v>
      </c>
      <c r="O872" t="s">
        <v>74</v>
      </c>
      <c r="P872" t="s">
        <v>74</v>
      </c>
      <c r="Q872" t="s">
        <v>74</v>
      </c>
      <c r="R872" t="s">
        <v>74</v>
      </c>
      <c r="S872" t="s">
        <v>74</v>
      </c>
      <c r="T872" t="s">
        <v>11642</v>
      </c>
      <c r="U872" t="s">
        <v>11643</v>
      </c>
      <c r="V872" t="s">
        <v>11644</v>
      </c>
      <c r="W872" t="s">
        <v>11645</v>
      </c>
      <c r="X872" t="s">
        <v>11646</v>
      </c>
      <c r="Y872" t="s">
        <v>11647</v>
      </c>
      <c r="Z872" t="s">
        <v>11648</v>
      </c>
      <c r="AA872" t="s">
        <v>74</v>
      </c>
      <c r="AB872" t="s">
        <v>74</v>
      </c>
      <c r="AC872" t="s">
        <v>74</v>
      </c>
      <c r="AD872" t="s">
        <v>74</v>
      </c>
      <c r="AE872" t="s">
        <v>74</v>
      </c>
      <c r="AF872" t="s">
        <v>74</v>
      </c>
      <c r="AG872">
        <v>55</v>
      </c>
      <c r="AH872">
        <v>47</v>
      </c>
      <c r="AI872">
        <v>54</v>
      </c>
      <c r="AJ872">
        <v>3</v>
      </c>
      <c r="AK872">
        <v>12</v>
      </c>
      <c r="AL872" t="s">
        <v>4847</v>
      </c>
      <c r="AM872" t="s">
        <v>204</v>
      </c>
      <c r="AN872" t="s">
        <v>10375</v>
      </c>
      <c r="AO872" t="s">
        <v>10390</v>
      </c>
      <c r="AP872" t="s">
        <v>10391</v>
      </c>
      <c r="AQ872" t="s">
        <v>74</v>
      </c>
      <c r="AR872" t="s">
        <v>10392</v>
      </c>
      <c r="AS872" t="s">
        <v>10393</v>
      </c>
      <c r="AT872" t="s">
        <v>11316</v>
      </c>
      <c r="AU872">
        <v>2001</v>
      </c>
      <c r="AV872">
        <v>128</v>
      </c>
      <c r="AW872">
        <v>2</v>
      </c>
      <c r="AX872" t="s">
        <v>74</v>
      </c>
      <c r="AY872" t="s">
        <v>74</v>
      </c>
      <c r="AZ872" t="s">
        <v>74</v>
      </c>
      <c r="BA872" t="s">
        <v>74</v>
      </c>
      <c r="BB872">
        <v>351</v>
      </c>
      <c r="BC872">
        <v>363</v>
      </c>
      <c r="BD872" t="s">
        <v>74</v>
      </c>
      <c r="BE872" t="s">
        <v>11649</v>
      </c>
      <c r="BF872" t="str">
        <f>HYPERLINK("http://dx.doi.org/10.1016/S1096-4959(00)00332-8","http://dx.doi.org/10.1016/S1096-4959(00)00332-8")</f>
        <v>http://dx.doi.org/10.1016/S1096-4959(00)00332-8</v>
      </c>
      <c r="BG872" t="s">
        <v>74</v>
      </c>
      <c r="BH872" t="s">
        <v>74</v>
      </c>
      <c r="BI872">
        <v>13</v>
      </c>
      <c r="BJ872" t="s">
        <v>10395</v>
      </c>
      <c r="BK872" t="s">
        <v>88</v>
      </c>
      <c r="BL872" t="s">
        <v>10395</v>
      </c>
      <c r="BM872" t="s">
        <v>11628</v>
      </c>
      <c r="BN872">
        <v>11207447</v>
      </c>
      <c r="BO872" t="s">
        <v>74</v>
      </c>
      <c r="BP872" t="s">
        <v>74</v>
      </c>
      <c r="BQ872" t="s">
        <v>74</v>
      </c>
      <c r="BR872" t="s">
        <v>91</v>
      </c>
      <c r="BS872" t="s">
        <v>11650</v>
      </c>
      <c r="BT872" t="str">
        <f>HYPERLINK("https%3A%2F%2Fwww.webofscience.com%2Fwos%2Fwoscc%2Ffull-record%2FWOS:000167146000015","View Full Record in Web of Science")</f>
        <v>View Full Record in Web of Science</v>
      </c>
    </row>
    <row r="873" spans="1:72" x14ac:dyDescent="0.15">
      <c r="A873" t="s">
        <v>72</v>
      </c>
      <c r="B873" t="s">
        <v>11651</v>
      </c>
      <c r="C873" t="s">
        <v>74</v>
      </c>
      <c r="D873" t="s">
        <v>74</v>
      </c>
      <c r="E873" t="s">
        <v>74</v>
      </c>
      <c r="F873" t="s">
        <v>11651</v>
      </c>
      <c r="G873" t="s">
        <v>74</v>
      </c>
      <c r="H873" t="s">
        <v>74</v>
      </c>
      <c r="I873" t="s">
        <v>11652</v>
      </c>
      <c r="J873" t="s">
        <v>3533</v>
      </c>
      <c r="K873" t="s">
        <v>74</v>
      </c>
      <c r="L873" t="s">
        <v>74</v>
      </c>
      <c r="M873" t="s">
        <v>77</v>
      </c>
      <c r="N873" t="s">
        <v>120</v>
      </c>
      <c r="O873" t="s">
        <v>74</v>
      </c>
      <c r="P873" t="s">
        <v>74</v>
      </c>
      <c r="Q873" t="s">
        <v>74</v>
      </c>
      <c r="R873" t="s">
        <v>74</v>
      </c>
      <c r="S873" t="s">
        <v>74</v>
      </c>
      <c r="T873" t="s">
        <v>11653</v>
      </c>
      <c r="U873" t="s">
        <v>11654</v>
      </c>
      <c r="V873" t="s">
        <v>11655</v>
      </c>
      <c r="W873" t="s">
        <v>11656</v>
      </c>
      <c r="X873" t="s">
        <v>5316</v>
      </c>
      <c r="Y873" t="s">
        <v>11657</v>
      </c>
      <c r="Z873" t="s">
        <v>11658</v>
      </c>
      <c r="AA873" t="s">
        <v>11659</v>
      </c>
      <c r="AB873" t="s">
        <v>11660</v>
      </c>
      <c r="AC873" t="s">
        <v>74</v>
      </c>
      <c r="AD873" t="s">
        <v>74</v>
      </c>
      <c r="AE873" t="s">
        <v>74</v>
      </c>
      <c r="AF873" t="s">
        <v>74</v>
      </c>
      <c r="AG873">
        <v>63</v>
      </c>
      <c r="AH873">
        <v>35</v>
      </c>
      <c r="AI873">
        <v>40</v>
      </c>
      <c r="AJ873">
        <v>0</v>
      </c>
      <c r="AK873">
        <v>11</v>
      </c>
      <c r="AL873" t="s">
        <v>79</v>
      </c>
      <c r="AM873" t="s">
        <v>80</v>
      </c>
      <c r="AN873" t="s">
        <v>81</v>
      </c>
      <c r="AO873" t="s">
        <v>3542</v>
      </c>
      <c r="AP873" t="s">
        <v>5873</v>
      </c>
      <c r="AQ873" t="s">
        <v>74</v>
      </c>
      <c r="AR873" t="s">
        <v>3543</v>
      </c>
      <c r="AS873" t="s">
        <v>3544</v>
      </c>
      <c r="AT873" t="s">
        <v>11316</v>
      </c>
      <c r="AU873">
        <v>2001</v>
      </c>
      <c r="AV873">
        <v>48</v>
      </c>
      <c r="AW873">
        <v>2</v>
      </c>
      <c r="AX873" t="s">
        <v>74</v>
      </c>
      <c r="AY873" t="s">
        <v>74</v>
      </c>
      <c r="AZ873" t="s">
        <v>74</v>
      </c>
      <c r="BA873" t="s">
        <v>74</v>
      </c>
      <c r="BB873">
        <v>471</v>
      </c>
      <c r="BC873">
        <v>493</v>
      </c>
      <c r="BD873" t="s">
        <v>74</v>
      </c>
      <c r="BE873" t="s">
        <v>11661</v>
      </c>
      <c r="BF873" t="str">
        <f>HYPERLINK("http://dx.doi.org/10.1016/S0967-0637(00)00046-7","http://dx.doi.org/10.1016/S0967-0637(00)00046-7")</f>
        <v>http://dx.doi.org/10.1016/S0967-0637(00)00046-7</v>
      </c>
      <c r="BG873" t="s">
        <v>74</v>
      </c>
      <c r="BH873" t="s">
        <v>74</v>
      </c>
      <c r="BI873">
        <v>23</v>
      </c>
      <c r="BJ873" t="s">
        <v>668</v>
      </c>
      <c r="BK873" t="s">
        <v>88</v>
      </c>
      <c r="BL873" t="s">
        <v>668</v>
      </c>
      <c r="BM873" t="s">
        <v>11662</v>
      </c>
      <c r="BN873" t="s">
        <v>74</v>
      </c>
      <c r="BO873" t="s">
        <v>74</v>
      </c>
      <c r="BP873" t="s">
        <v>74</v>
      </c>
      <c r="BQ873" t="s">
        <v>74</v>
      </c>
      <c r="BR873" t="s">
        <v>91</v>
      </c>
      <c r="BS873" t="s">
        <v>11663</v>
      </c>
      <c r="BT873" t="str">
        <f>HYPERLINK("https%3A%2F%2Fwww.webofscience.com%2Fwos%2Fwoscc%2Ffull-record%2FWOS:000165362800006","View Full Record in Web of Science")</f>
        <v>View Full Record in Web of Science</v>
      </c>
    </row>
    <row r="874" spans="1:72" x14ac:dyDescent="0.15">
      <c r="A874" t="s">
        <v>72</v>
      </c>
      <c r="B874" t="s">
        <v>11664</v>
      </c>
      <c r="C874" t="s">
        <v>74</v>
      </c>
      <c r="D874" t="s">
        <v>74</v>
      </c>
      <c r="E874" t="s">
        <v>74</v>
      </c>
      <c r="F874" t="s">
        <v>11664</v>
      </c>
      <c r="G874" t="s">
        <v>74</v>
      </c>
      <c r="H874" t="s">
        <v>74</v>
      </c>
      <c r="I874" t="s">
        <v>11665</v>
      </c>
      <c r="J874" t="s">
        <v>5878</v>
      </c>
      <c r="K874" t="s">
        <v>74</v>
      </c>
      <c r="L874" t="s">
        <v>74</v>
      </c>
      <c r="M874" t="s">
        <v>77</v>
      </c>
      <c r="N874" t="s">
        <v>120</v>
      </c>
      <c r="O874" t="s">
        <v>74</v>
      </c>
      <c r="P874" t="s">
        <v>74</v>
      </c>
      <c r="Q874" t="s">
        <v>74</v>
      </c>
      <c r="R874" t="s">
        <v>74</v>
      </c>
      <c r="S874" t="s">
        <v>74</v>
      </c>
      <c r="T874" t="s">
        <v>74</v>
      </c>
      <c r="U874" t="s">
        <v>11666</v>
      </c>
      <c r="V874" t="s">
        <v>74</v>
      </c>
      <c r="W874" t="s">
        <v>11667</v>
      </c>
      <c r="X874" t="s">
        <v>11668</v>
      </c>
      <c r="Y874" t="s">
        <v>11669</v>
      </c>
      <c r="Z874" t="s">
        <v>74</v>
      </c>
      <c r="AA874" t="s">
        <v>11670</v>
      </c>
      <c r="AB874" t="s">
        <v>11671</v>
      </c>
      <c r="AC874" t="s">
        <v>74</v>
      </c>
      <c r="AD874" t="s">
        <v>74</v>
      </c>
      <c r="AE874" t="s">
        <v>74</v>
      </c>
      <c r="AF874" t="s">
        <v>74</v>
      </c>
      <c r="AG874">
        <v>15</v>
      </c>
      <c r="AH874">
        <v>17</v>
      </c>
      <c r="AI874">
        <v>17</v>
      </c>
      <c r="AJ874">
        <v>0</v>
      </c>
      <c r="AK874">
        <v>1</v>
      </c>
      <c r="AL874" t="s">
        <v>3678</v>
      </c>
      <c r="AM874" t="s">
        <v>3679</v>
      </c>
      <c r="AN874" t="s">
        <v>3680</v>
      </c>
      <c r="AO874" t="s">
        <v>5884</v>
      </c>
      <c r="AP874" t="s">
        <v>74</v>
      </c>
      <c r="AQ874" t="s">
        <v>74</v>
      </c>
      <c r="AR874" t="s">
        <v>5885</v>
      </c>
      <c r="AS874" t="s">
        <v>5886</v>
      </c>
      <c r="AT874" t="s">
        <v>11672</v>
      </c>
      <c r="AU874">
        <v>2001</v>
      </c>
      <c r="AV874">
        <v>377</v>
      </c>
      <c r="AW874">
        <v>2</v>
      </c>
      <c r="AX874" t="s">
        <v>74</v>
      </c>
      <c r="AY874" t="s">
        <v>74</v>
      </c>
      <c r="AZ874" t="s">
        <v>74</v>
      </c>
      <c r="BA874" t="s">
        <v>74</v>
      </c>
      <c r="BB874">
        <v>243</v>
      </c>
      <c r="BC874">
        <v>249</v>
      </c>
      <c r="BD874" t="s">
        <v>74</v>
      </c>
      <c r="BE874" t="s">
        <v>74</v>
      </c>
      <c r="BF874" t="s">
        <v>74</v>
      </c>
      <c r="BG874" t="s">
        <v>74</v>
      </c>
      <c r="BH874" t="s">
        <v>74</v>
      </c>
      <c r="BI874">
        <v>7</v>
      </c>
      <c r="BJ874" t="s">
        <v>300</v>
      </c>
      <c r="BK874" t="s">
        <v>88</v>
      </c>
      <c r="BL874" t="s">
        <v>113</v>
      </c>
      <c r="BM874" t="s">
        <v>11673</v>
      </c>
      <c r="BN874" t="s">
        <v>74</v>
      </c>
      <c r="BO874" t="s">
        <v>74</v>
      </c>
      <c r="BP874" t="s">
        <v>74</v>
      </c>
      <c r="BQ874" t="s">
        <v>74</v>
      </c>
      <c r="BR874" t="s">
        <v>91</v>
      </c>
      <c r="BS874" t="s">
        <v>11674</v>
      </c>
      <c r="BT874" t="str">
        <f>HYPERLINK("https%3A%2F%2Fwww.webofscience.com%2Fwos%2Fwoscc%2Ffull-record%2FWOS:000167612200028","View Full Record in Web of Science")</f>
        <v>View Full Record in Web of Science</v>
      </c>
    </row>
    <row r="875" spans="1:72" x14ac:dyDescent="0.15">
      <c r="A875" t="s">
        <v>72</v>
      </c>
      <c r="B875" t="s">
        <v>11675</v>
      </c>
      <c r="C875" t="s">
        <v>74</v>
      </c>
      <c r="D875" t="s">
        <v>74</v>
      </c>
      <c r="E875" t="s">
        <v>74</v>
      </c>
      <c r="F875" t="s">
        <v>11675</v>
      </c>
      <c r="G875" t="s">
        <v>74</v>
      </c>
      <c r="H875" t="s">
        <v>74</v>
      </c>
      <c r="I875" t="s">
        <v>11676</v>
      </c>
      <c r="J875" t="s">
        <v>11677</v>
      </c>
      <c r="K875" t="s">
        <v>74</v>
      </c>
      <c r="L875" t="s">
        <v>74</v>
      </c>
      <c r="M875" t="s">
        <v>77</v>
      </c>
      <c r="N875" t="s">
        <v>120</v>
      </c>
      <c r="O875" t="s">
        <v>74</v>
      </c>
      <c r="P875" t="s">
        <v>74</v>
      </c>
      <c r="Q875" t="s">
        <v>74</v>
      </c>
      <c r="R875" t="s">
        <v>74</v>
      </c>
      <c r="S875" t="s">
        <v>74</v>
      </c>
      <c r="T875" t="s">
        <v>74</v>
      </c>
      <c r="U875" t="s">
        <v>74</v>
      </c>
      <c r="V875" t="s">
        <v>74</v>
      </c>
      <c r="W875" t="s">
        <v>11678</v>
      </c>
      <c r="X875" t="s">
        <v>11679</v>
      </c>
      <c r="Y875" t="s">
        <v>11680</v>
      </c>
      <c r="Z875" t="s">
        <v>74</v>
      </c>
      <c r="AA875" t="s">
        <v>11681</v>
      </c>
      <c r="AB875" t="s">
        <v>74</v>
      </c>
      <c r="AC875" t="s">
        <v>74</v>
      </c>
      <c r="AD875" t="s">
        <v>74</v>
      </c>
      <c r="AE875" t="s">
        <v>74</v>
      </c>
      <c r="AF875" t="s">
        <v>74</v>
      </c>
      <c r="AG875">
        <v>15</v>
      </c>
      <c r="AH875">
        <v>0</v>
      </c>
      <c r="AI875">
        <v>0</v>
      </c>
      <c r="AJ875">
        <v>0</v>
      </c>
      <c r="AK875">
        <v>0</v>
      </c>
      <c r="AL875" t="s">
        <v>11682</v>
      </c>
      <c r="AM875" t="s">
        <v>1352</v>
      </c>
      <c r="AN875" t="s">
        <v>11683</v>
      </c>
      <c r="AO875" t="s">
        <v>11684</v>
      </c>
      <c r="AP875" t="s">
        <v>74</v>
      </c>
      <c r="AQ875" t="s">
        <v>74</v>
      </c>
      <c r="AR875" t="s">
        <v>11685</v>
      </c>
      <c r="AS875" t="s">
        <v>11686</v>
      </c>
      <c r="AT875" t="s">
        <v>11316</v>
      </c>
      <c r="AU875">
        <v>2001</v>
      </c>
      <c r="AV875">
        <v>46</v>
      </c>
      <c r="AW875">
        <v>2</v>
      </c>
      <c r="AX875" t="s">
        <v>74</v>
      </c>
      <c r="AY875" t="s">
        <v>74</v>
      </c>
      <c r="AZ875" t="s">
        <v>74</v>
      </c>
      <c r="BA875" t="s">
        <v>74</v>
      </c>
      <c r="BB875">
        <v>103</v>
      </c>
      <c r="BC875">
        <v>106</v>
      </c>
      <c r="BD875" t="s">
        <v>74</v>
      </c>
      <c r="BE875" t="s">
        <v>11687</v>
      </c>
      <c r="BF875" t="str">
        <f>HYPERLINK("http://dx.doi.org/10.1134/1.1355384","http://dx.doi.org/10.1134/1.1355384")</f>
        <v>http://dx.doi.org/10.1134/1.1355384</v>
      </c>
      <c r="BG875" t="s">
        <v>74</v>
      </c>
      <c r="BH875" t="s">
        <v>74</v>
      </c>
      <c r="BI875">
        <v>4</v>
      </c>
      <c r="BJ875" t="s">
        <v>11688</v>
      </c>
      <c r="BK875" t="s">
        <v>88</v>
      </c>
      <c r="BL875" t="s">
        <v>4386</v>
      </c>
      <c r="BM875" t="s">
        <v>11689</v>
      </c>
      <c r="BN875" t="s">
        <v>74</v>
      </c>
      <c r="BO875" t="s">
        <v>74</v>
      </c>
      <c r="BP875" t="s">
        <v>74</v>
      </c>
      <c r="BQ875" t="s">
        <v>74</v>
      </c>
      <c r="BR875" t="s">
        <v>91</v>
      </c>
      <c r="BS875" t="s">
        <v>11690</v>
      </c>
      <c r="BT875" t="str">
        <f>HYPERLINK("https%3A%2F%2Fwww.webofscience.com%2Fwos%2Fwoscc%2Ffull-record%2FWOS:000167612100009","View Full Record in Web of Science")</f>
        <v>View Full Record in Web of Science</v>
      </c>
    </row>
    <row r="876" spans="1:72" x14ac:dyDescent="0.15">
      <c r="A876" t="s">
        <v>72</v>
      </c>
      <c r="B876" t="s">
        <v>11691</v>
      </c>
      <c r="C876" t="s">
        <v>74</v>
      </c>
      <c r="D876" t="s">
        <v>74</v>
      </c>
      <c r="E876" t="s">
        <v>74</v>
      </c>
      <c r="F876" t="s">
        <v>11691</v>
      </c>
      <c r="G876" t="s">
        <v>74</v>
      </c>
      <c r="H876" t="s">
        <v>74</v>
      </c>
      <c r="I876" t="s">
        <v>11692</v>
      </c>
      <c r="J876" t="s">
        <v>11693</v>
      </c>
      <c r="K876" t="s">
        <v>74</v>
      </c>
      <c r="L876" t="s">
        <v>74</v>
      </c>
      <c r="M876" t="s">
        <v>77</v>
      </c>
      <c r="N876" t="s">
        <v>120</v>
      </c>
      <c r="O876" t="s">
        <v>74</v>
      </c>
      <c r="P876" t="s">
        <v>74</v>
      </c>
      <c r="Q876" t="s">
        <v>74</v>
      </c>
      <c r="R876" t="s">
        <v>74</v>
      </c>
      <c r="S876" t="s">
        <v>74</v>
      </c>
      <c r="T876" t="s">
        <v>11694</v>
      </c>
      <c r="U876" t="s">
        <v>11695</v>
      </c>
      <c r="V876" t="s">
        <v>11696</v>
      </c>
      <c r="W876" t="s">
        <v>11697</v>
      </c>
      <c r="X876" t="s">
        <v>11698</v>
      </c>
      <c r="Y876" t="s">
        <v>11699</v>
      </c>
      <c r="Z876" t="s">
        <v>11700</v>
      </c>
      <c r="AA876" t="s">
        <v>74</v>
      </c>
      <c r="AB876" t="s">
        <v>74</v>
      </c>
      <c r="AC876" t="s">
        <v>74</v>
      </c>
      <c r="AD876" t="s">
        <v>74</v>
      </c>
      <c r="AE876" t="s">
        <v>74</v>
      </c>
      <c r="AF876" t="s">
        <v>74</v>
      </c>
      <c r="AG876">
        <v>87</v>
      </c>
      <c r="AH876">
        <v>136</v>
      </c>
      <c r="AI876">
        <v>154</v>
      </c>
      <c r="AJ876">
        <v>5</v>
      </c>
      <c r="AK876">
        <v>84</v>
      </c>
      <c r="AL876" t="s">
        <v>1247</v>
      </c>
      <c r="AM876" t="s">
        <v>1248</v>
      </c>
      <c r="AN876" t="s">
        <v>1249</v>
      </c>
      <c r="AO876" t="s">
        <v>11701</v>
      </c>
      <c r="AP876" t="s">
        <v>11702</v>
      </c>
      <c r="AQ876" t="s">
        <v>74</v>
      </c>
      <c r="AR876" t="s">
        <v>11703</v>
      </c>
      <c r="AS876" t="s">
        <v>11704</v>
      </c>
      <c r="AT876" t="s">
        <v>11316</v>
      </c>
      <c r="AU876">
        <v>2001</v>
      </c>
      <c r="AV876">
        <v>71</v>
      </c>
      <c r="AW876">
        <v>1</v>
      </c>
      <c r="AX876" t="s">
        <v>74</v>
      </c>
      <c r="AY876" t="s">
        <v>74</v>
      </c>
      <c r="AZ876" t="s">
        <v>74</v>
      </c>
      <c r="BA876" t="s">
        <v>74</v>
      </c>
      <c r="BB876">
        <v>137</v>
      </c>
      <c r="BC876">
        <v>162</v>
      </c>
      <c r="BD876" t="s">
        <v>74</v>
      </c>
      <c r="BE876" t="s">
        <v>11705</v>
      </c>
      <c r="BF876" t="str">
        <f>HYPERLINK("http://dx.doi.org/10.1890/0012-9615(2001)071[0137:CDPOPA]2.0.CO;2","http://dx.doi.org/10.1890/0012-9615(2001)071[0137:CDPOPA]2.0.CO;2")</f>
        <v>http://dx.doi.org/10.1890/0012-9615(2001)071[0137:CDPOPA]2.0.CO;2</v>
      </c>
      <c r="BG876" t="s">
        <v>74</v>
      </c>
      <c r="BH876" t="s">
        <v>74</v>
      </c>
      <c r="BI876">
        <v>26</v>
      </c>
      <c r="BJ876" t="s">
        <v>4932</v>
      </c>
      <c r="BK876" t="s">
        <v>88</v>
      </c>
      <c r="BL876" t="s">
        <v>2955</v>
      </c>
      <c r="BM876" t="s">
        <v>11706</v>
      </c>
      <c r="BN876" t="s">
        <v>74</v>
      </c>
      <c r="BO876" t="s">
        <v>74</v>
      </c>
      <c r="BP876" t="s">
        <v>74</v>
      </c>
      <c r="BQ876" t="s">
        <v>74</v>
      </c>
      <c r="BR876" t="s">
        <v>91</v>
      </c>
      <c r="BS876" t="s">
        <v>11707</v>
      </c>
      <c r="BT876" t="str">
        <f>HYPERLINK("https%3A%2F%2Fwww.webofscience.com%2Fwos%2Fwoscc%2Ffull-record%2FWOS:000166914000007","View Full Record in Web of Science")</f>
        <v>View Full Record in Web of Science</v>
      </c>
    </row>
    <row r="877" spans="1:72" x14ac:dyDescent="0.15">
      <c r="A877" t="s">
        <v>72</v>
      </c>
      <c r="B877" t="s">
        <v>11708</v>
      </c>
      <c r="C877" t="s">
        <v>74</v>
      </c>
      <c r="D877" t="s">
        <v>74</v>
      </c>
      <c r="E877" t="s">
        <v>74</v>
      </c>
      <c r="F877" t="s">
        <v>11708</v>
      </c>
      <c r="G877" t="s">
        <v>74</v>
      </c>
      <c r="H877" t="s">
        <v>74</v>
      </c>
      <c r="I877" t="s">
        <v>11709</v>
      </c>
      <c r="J877" t="s">
        <v>2283</v>
      </c>
      <c r="K877" t="s">
        <v>74</v>
      </c>
      <c r="L877" t="s">
        <v>74</v>
      </c>
      <c r="M877" t="s">
        <v>77</v>
      </c>
      <c r="N877" t="s">
        <v>120</v>
      </c>
      <c r="O877" t="s">
        <v>74</v>
      </c>
      <c r="P877" t="s">
        <v>74</v>
      </c>
      <c r="Q877" t="s">
        <v>74</v>
      </c>
      <c r="R877" t="s">
        <v>74</v>
      </c>
      <c r="S877" t="s">
        <v>74</v>
      </c>
      <c r="T877" t="s">
        <v>11710</v>
      </c>
      <c r="U877" t="s">
        <v>11711</v>
      </c>
      <c r="V877" t="s">
        <v>11712</v>
      </c>
      <c r="W877" t="s">
        <v>11713</v>
      </c>
      <c r="X877" t="s">
        <v>11714</v>
      </c>
      <c r="Y877" t="s">
        <v>11715</v>
      </c>
      <c r="Z877" t="s">
        <v>11716</v>
      </c>
      <c r="AA877" t="s">
        <v>9295</v>
      </c>
      <c r="AB877" t="s">
        <v>9296</v>
      </c>
      <c r="AC877" t="s">
        <v>74</v>
      </c>
      <c r="AD877" t="s">
        <v>74</v>
      </c>
      <c r="AE877" t="s">
        <v>74</v>
      </c>
      <c r="AF877" t="s">
        <v>74</v>
      </c>
      <c r="AG877">
        <v>34</v>
      </c>
      <c r="AH877">
        <v>53</v>
      </c>
      <c r="AI877">
        <v>60</v>
      </c>
      <c r="AJ877">
        <v>0</v>
      </c>
      <c r="AK877">
        <v>11</v>
      </c>
      <c r="AL877" t="s">
        <v>4975</v>
      </c>
      <c r="AM877" t="s">
        <v>4976</v>
      </c>
      <c r="AN877" t="s">
        <v>4977</v>
      </c>
      <c r="AO877" t="s">
        <v>2294</v>
      </c>
      <c r="AP877" t="s">
        <v>4978</v>
      </c>
      <c r="AQ877" t="s">
        <v>74</v>
      </c>
      <c r="AR877" t="s">
        <v>2283</v>
      </c>
      <c r="AS877" t="s">
        <v>2295</v>
      </c>
      <c r="AT877" t="s">
        <v>11316</v>
      </c>
      <c r="AU877">
        <v>2001</v>
      </c>
      <c r="AV877">
        <v>5</v>
      </c>
      <c r="AW877">
        <v>1</v>
      </c>
      <c r="AX877" t="s">
        <v>74</v>
      </c>
      <c r="AY877" t="s">
        <v>74</v>
      </c>
      <c r="AZ877" t="s">
        <v>74</v>
      </c>
      <c r="BA877" t="s">
        <v>74</v>
      </c>
      <c r="BB877">
        <v>35</v>
      </c>
      <c r="BC877">
        <v>44</v>
      </c>
      <c r="BD877" t="s">
        <v>74</v>
      </c>
      <c r="BE877" t="s">
        <v>74</v>
      </c>
      <c r="BF877" t="s">
        <v>74</v>
      </c>
      <c r="BG877" t="s">
        <v>74</v>
      </c>
      <c r="BH877" t="s">
        <v>74</v>
      </c>
      <c r="BI877">
        <v>10</v>
      </c>
      <c r="BJ877" t="s">
        <v>2297</v>
      </c>
      <c r="BK877" t="s">
        <v>88</v>
      </c>
      <c r="BL877" t="s">
        <v>2297</v>
      </c>
      <c r="BM877" t="s">
        <v>11717</v>
      </c>
      <c r="BN877">
        <v>11302501</v>
      </c>
      <c r="BO877" t="s">
        <v>74</v>
      </c>
      <c r="BP877" t="s">
        <v>74</v>
      </c>
      <c r="BQ877" t="s">
        <v>74</v>
      </c>
      <c r="BR877" t="s">
        <v>91</v>
      </c>
      <c r="BS877" t="s">
        <v>11718</v>
      </c>
      <c r="BT877" t="str">
        <f>HYPERLINK("https%3A%2F%2Fwww.webofscience.com%2Fwos%2Fwoscc%2Ffull-record%2FWOS:000167425500006","View Full Record in Web of Science")</f>
        <v>View Full Record in Web of Science</v>
      </c>
    </row>
    <row r="878" spans="1:72" x14ac:dyDescent="0.15">
      <c r="A878" t="s">
        <v>72</v>
      </c>
      <c r="B878" t="s">
        <v>11719</v>
      </c>
      <c r="C878" t="s">
        <v>74</v>
      </c>
      <c r="D878" t="s">
        <v>74</v>
      </c>
      <c r="E878" t="s">
        <v>74</v>
      </c>
      <c r="F878" t="s">
        <v>11719</v>
      </c>
      <c r="G878" t="s">
        <v>74</v>
      </c>
      <c r="H878" t="s">
        <v>74</v>
      </c>
      <c r="I878" t="s">
        <v>11720</v>
      </c>
      <c r="J878" t="s">
        <v>613</v>
      </c>
      <c r="K878" t="s">
        <v>74</v>
      </c>
      <c r="L878" t="s">
        <v>74</v>
      </c>
      <c r="M878" t="s">
        <v>77</v>
      </c>
      <c r="N878" t="s">
        <v>120</v>
      </c>
      <c r="O878" t="s">
        <v>74</v>
      </c>
      <c r="P878" t="s">
        <v>74</v>
      </c>
      <c r="Q878" t="s">
        <v>74</v>
      </c>
      <c r="R878" t="s">
        <v>74</v>
      </c>
      <c r="S878" t="s">
        <v>74</v>
      </c>
      <c r="T878" t="s">
        <v>74</v>
      </c>
      <c r="U878" t="s">
        <v>11721</v>
      </c>
      <c r="V878" t="s">
        <v>11722</v>
      </c>
      <c r="W878" t="s">
        <v>11723</v>
      </c>
      <c r="X878" t="s">
        <v>1713</v>
      </c>
      <c r="Y878" t="s">
        <v>11724</v>
      </c>
      <c r="Z878" t="s">
        <v>74</v>
      </c>
      <c r="AA878" t="s">
        <v>74</v>
      </c>
      <c r="AB878" t="s">
        <v>74</v>
      </c>
      <c r="AC878" t="s">
        <v>74</v>
      </c>
      <c r="AD878" t="s">
        <v>74</v>
      </c>
      <c r="AE878" t="s">
        <v>74</v>
      </c>
      <c r="AF878" t="s">
        <v>74</v>
      </c>
      <c r="AG878">
        <v>21</v>
      </c>
      <c r="AH878">
        <v>47</v>
      </c>
      <c r="AI878">
        <v>52</v>
      </c>
      <c r="AJ878">
        <v>0</v>
      </c>
      <c r="AK878">
        <v>8</v>
      </c>
      <c r="AL878" t="s">
        <v>149</v>
      </c>
      <c r="AM878" t="s">
        <v>150</v>
      </c>
      <c r="AN878" t="s">
        <v>151</v>
      </c>
      <c r="AO878" t="s">
        <v>619</v>
      </c>
      <c r="AP878" t="s">
        <v>1094</v>
      </c>
      <c r="AQ878" t="s">
        <v>74</v>
      </c>
      <c r="AR878" t="s">
        <v>620</v>
      </c>
      <c r="AS878" t="s">
        <v>621</v>
      </c>
      <c r="AT878" t="s">
        <v>11725</v>
      </c>
      <c r="AU878">
        <v>2001</v>
      </c>
      <c r="AV878">
        <v>28</v>
      </c>
      <c r="AW878">
        <v>3</v>
      </c>
      <c r="AX878" t="s">
        <v>74</v>
      </c>
      <c r="AY878" t="s">
        <v>74</v>
      </c>
      <c r="AZ878" t="s">
        <v>74</v>
      </c>
      <c r="BA878" t="s">
        <v>74</v>
      </c>
      <c r="BB878">
        <v>403</v>
      </c>
      <c r="BC878">
        <v>406</v>
      </c>
      <c r="BD878" t="s">
        <v>74</v>
      </c>
      <c r="BE878" t="s">
        <v>11726</v>
      </c>
      <c r="BF878" t="str">
        <f>HYPERLINK("http://dx.doi.org/10.1029/2000GL011924","http://dx.doi.org/10.1029/2000GL011924")</f>
        <v>http://dx.doi.org/10.1029/2000GL011924</v>
      </c>
      <c r="BG878" t="s">
        <v>74</v>
      </c>
      <c r="BH878" t="s">
        <v>74</v>
      </c>
      <c r="BI878">
        <v>4</v>
      </c>
      <c r="BJ878" t="s">
        <v>300</v>
      </c>
      <c r="BK878" t="s">
        <v>88</v>
      </c>
      <c r="BL878" t="s">
        <v>113</v>
      </c>
      <c r="BM878" t="s">
        <v>11727</v>
      </c>
      <c r="BN878" t="s">
        <v>74</v>
      </c>
      <c r="BO878" t="s">
        <v>171</v>
      </c>
      <c r="BP878" t="s">
        <v>74</v>
      </c>
      <c r="BQ878" t="s">
        <v>74</v>
      </c>
      <c r="BR878" t="s">
        <v>91</v>
      </c>
      <c r="BS878" t="s">
        <v>11728</v>
      </c>
      <c r="BT878" t="str">
        <f>HYPERLINK("https%3A%2F%2Fwww.webofscience.com%2Fwos%2Fwoscc%2Ffull-record%2FWOS:000166581700001","View Full Record in Web of Science")</f>
        <v>View Full Record in Web of Science</v>
      </c>
    </row>
    <row r="879" spans="1:72" x14ac:dyDescent="0.15">
      <c r="A879" t="s">
        <v>72</v>
      </c>
      <c r="B879" t="s">
        <v>11729</v>
      </c>
      <c r="C879" t="s">
        <v>74</v>
      </c>
      <c r="D879" t="s">
        <v>74</v>
      </c>
      <c r="E879" t="s">
        <v>74</v>
      </c>
      <c r="F879" t="s">
        <v>11729</v>
      </c>
      <c r="G879" t="s">
        <v>74</v>
      </c>
      <c r="H879" t="s">
        <v>74</v>
      </c>
      <c r="I879" t="s">
        <v>11730</v>
      </c>
      <c r="J879" t="s">
        <v>613</v>
      </c>
      <c r="K879" t="s">
        <v>74</v>
      </c>
      <c r="L879" t="s">
        <v>74</v>
      </c>
      <c r="M879" t="s">
        <v>77</v>
      </c>
      <c r="N879" t="s">
        <v>120</v>
      </c>
      <c r="O879" t="s">
        <v>74</v>
      </c>
      <c r="P879" t="s">
        <v>74</v>
      </c>
      <c r="Q879" t="s">
        <v>74</v>
      </c>
      <c r="R879" t="s">
        <v>74</v>
      </c>
      <c r="S879" t="s">
        <v>74</v>
      </c>
      <c r="T879" t="s">
        <v>74</v>
      </c>
      <c r="U879" t="s">
        <v>11731</v>
      </c>
      <c r="V879" t="s">
        <v>11732</v>
      </c>
      <c r="W879" t="s">
        <v>11733</v>
      </c>
      <c r="X879" t="s">
        <v>2484</v>
      </c>
      <c r="Y879" t="s">
        <v>11734</v>
      </c>
      <c r="Z879" t="s">
        <v>74</v>
      </c>
      <c r="AA879" t="s">
        <v>11735</v>
      </c>
      <c r="AB879" t="s">
        <v>74</v>
      </c>
      <c r="AC879" t="s">
        <v>74</v>
      </c>
      <c r="AD879" t="s">
        <v>74</v>
      </c>
      <c r="AE879" t="s">
        <v>74</v>
      </c>
      <c r="AF879" t="s">
        <v>74</v>
      </c>
      <c r="AG879">
        <v>13</v>
      </c>
      <c r="AH879">
        <v>25</v>
      </c>
      <c r="AI879">
        <v>27</v>
      </c>
      <c r="AJ879">
        <v>1</v>
      </c>
      <c r="AK879">
        <v>6</v>
      </c>
      <c r="AL879" t="s">
        <v>149</v>
      </c>
      <c r="AM879" t="s">
        <v>150</v>
      </c>
      <c r="AN879" t="s">
        <v>151</v>
      </c>
      <c r="AO879" t="s">
        <v>619</v>
      </c>
      <c r="AP879" t="s">
        <v>74</v>
      </c>
      <c r="AQ879" t="s">
        <v>74</v>
      </c>
      <c r="AR879" t="s">
        <v>620</v>
      </c>
      <c r="AS879" t="s">
        <v>621</v>
      </c>
      <c r="AT879" t="s">
        <v>11725</v>
      </c>
      <c r="AU879">
        <v>2001</v>
      </c>
      <c r="AV879">
        <v>28</v>
      </c>
      <c r="AW879">
        <v>3</v>
      </c>
      <c r="AX879" t="s">
        <v>74</v>
      </c>
      <c r="AY879" t="s">
        <v>74</v>
      </c>
      <c r="AZ879" t="s">
        <v>74</v>
      </c>
      <c r="BA879" t="s">
        <v>74</v>
      </c>
      <c r="BB879">
        <v>531</v>
      </c>
      <c r="BC879">
        <v>534</v>
      </c>
      <c r="BD879" t="s">
        <v>74</v>
      </c>
      <c r="BE879" t="s">
        <v>11736</v>
      </c>
      <c r="BF879" t="str">
        <f>HYPERLINK("http://dx.doi.org/10.1029/2000GL012107","http://dx.doi.org/10.1029/2000GL012107")</f>
        <v>http://dx.doi.org/10.1029/2000GL012107</v>
      </c>
      <c r="BG879" t="s">
        <v>74</v>
      </c>
      <c r="BH879" t="s">
        <v>74</v>
      </c>
      <c r="BI879">
        <v>4</v>
      </c>
      <c r="BJ879" t="s">
        <v>300</v>
      </c>
      <c r="BK879" t="s">
        <v>88</v>
      </c>
      <c r="BL879" t="s">
        <v>113</v>
      </c>
      <c r="BM879" t="s">
        <v>11727</v>
      </c>
      <c r="BN879" t="s">
        <v>74</v>
      </c>
      <c r="BO879" t="s">
        <v>74</v>
      </c>
      <c r="BP879" t="s">
        <v>74</v>
      </c>
      <c r="BQ879" t="s">
        <v>74</v>
      </c>
      <c r="BR879" t="s">
        <v>91</v>
      </c>
      <c r="BS879" t="s">
        <v>11737</v>
      </c>
      <c r="BT879" t="str">
        <f>HYPERLINK("https%3A%2F%2Fwww.webofscience.com%2Fwos%2Fwoscc%2Ffull-record%2FWOS:000166581700033","View Full Record in Web of Science")</f>
        <v>View Full Record in Web of Science</v>
      </c>
    </row>
    <row r="880" spans="1:72" x14ac:dyDescent="0.15">
      <c r="A880" t="s">
        <v>72</v>
      </c>
      <c r="B880" t="s">
        <v>11738</v>
      </c>
      <c r="C880" t="s">
        <v>74</v>
      </c>
      <c r="D880" t="s">
        <v>74</v>
      </c>
      <c r="E880" t="s">
        <v>74</v>
      </c>
      <c r="F880" t="s">
        <v>11738</v>
      </c>
      <c r="G880" t="s">
        <v>74</v>
      </c>
      <c r="H880" t="s">
        <v>74</v>
      </c>
      <c r="I880" t="s">
        <v>11739</v>
      </c>
      <c r="J880" t="s">
        <v>11740</v>
      </c>
      <c r="K880" t="s">
        <v>74</v>
      </c>
      <c r="L880" t="s">
        <v>74</v>
      </c>
      <c r="M880" t="s">
        <v>77</v>
      </c>
      <c r="N880" t="s">
        <v>96</v>
      </c>
      <c r="O880" t="s">
        <v>74</v>
      </c>
      <c r="P880" t="s">
        <v>74</v>
      </c>
      <c r="Q880" t="s">
        <v>74</v>
      </c>
      <c r="R880" t="s">
        <v>74</v>
      </c>
      <c r="S880" t="s">
        <v>74</v>
      </c>
      <c r="T880" t="s">
        <v>11741</v>
      </c>
      <c r="U880" t="s">
        <v>11742</v>
      </c>
      <c r="V880" t="s">
        <v>11743</v>
      </c>
      <c r="W880" t="s">
        <v>11744</v>
      </c>
      <c r="X880" t="s">
        <v>6177</v>
      </c>
      <c r="Y880" t="s">
        <v>11745</v>
      </c>
      <c r="Z880" t="s">
        <v>11746</v>
      </c>
      <c r="AA880" t="s">
        <v>74</v>
      </c>
      <c r="AB880" t="s">
        <v>74</v>
      </c>
      <c r="AC880" t="s">
        <v>74</v>
      </c>
      <c r="AD880" t="s">
        <v>74</v>
      </c>
      <c r="AE880" t="s">
        <v>74</v>
      </c>
      <c r="AF880" t="s">
        <v>74</v>
      </c>
      <c r="AG880">
        <v>149</v>
      </c>
      <c r="AH880">
        <v>110</v>
      </c>
      <c r="AI880">
        <v>139</v>
      </c>
      <c r="AJ880">
        <v>1</v>
      </c>
      <c r="AK880">
        <v>88</v>
      </c>
      <c r="AL880" t="s">
        <v>79</v>
      </c>
      <c r="AM880" t="s">
        <v>80</v>
      </c>
      <c r="AN880" t="s">
        <v>81</v>
      </c>
      <c r="AO880" t="s">
        <v>11747</v>
      </c>
      <c r="AP880" t="s">
        <v>11748</v>
      </c>
      <c r="AQ880" t="s">
        <v>74</v>
      </c>
      <c r="AR880" t="s">
        <v>11749</v>
      </c>
      <c r="AS880" t="s">
        <v>11750</v>
      </c>
      <c r="AT880" t="s">
        <v>11316</v>
      </c>
      <c r="AU880">
        <v>2001</v>
      </c>
      <c r="AV880">
        <v>33</v>
      </c>
      <c r="AW880">
        <v>2</v>
      </c>
      <c r="AX880" t="s">
        <v>74</v>
      </c>
      <c r="AY880" t="s">
        <v>74</v>
      </c>
      <c r="AZ880" t="s">
        <v>74</v>
      </c>
      <c r="BA880" t="s">
        <v>74</v>
      </c>
      <c r="BB880">
        <v>105</v>
      </c>
      <c r="BC880">
        <v>117</v>
      </c>
      <c r="BD880" t="s">
        <v>74</v>
      </c>
      <c r="BE880" t="s">
        <v>11751</v>
      </c>
      <c r="BF880" t="str">
        <f>HYPERLINK("http://dx.doi.org/10.1016/S1357-2725(00)00083-2","http://dx.doi.org/10.1016/S1357-2725(00)00083-2")</f>
        <v>http://dx.doi.org/10.1016/S1357-2725(00)00083-2</v>
      </c>
      <c r="BG880" t="s">
        <v>74</v>
      </c>
      <c r="BH880" t="s">
        <v>74</v>
      </c>
      <c r="BI880">
        <v>13</v>
      </c>
      <c r="BJ880" t="s">
        <v>11752</v>
      </c>
      <c r="BK880" t="s">
        <v>88</v>
      </c>
      <c r="BL880" t="s">
        <v>11752</v>
      </c>
      <c r="BM880" t="s">
        <v>11753</v>
      </c>
      <c r="BN880">
        <v>11240367</v>
      </c>
      <c r="BO880" t="s">
        <v>74</v>
      </c>
      <c r="BP880" t="s">
        <v>74</v>
      </c>
      <c r="BQ880" t="s">
        <v>74</v>
      </c>
      <c r="BR880" t="s">
        <v>91</v>
      </c>
      <c r="BS880" t="s">
        <v>11754</v>
      </c>
      <c r="BT880" t="str">
        <f>HYPERLINK("https%3A%2F%2Fwww.webofscience.com%2Fwos%2Fwoscc%2Ffull-record%2FWOS:000167576900001","View Full Record in Web of Science")</f>
        <v>View Full Record in Web of Science</v>
      </c>
    </row>
    <row r="881" spans="1:72" x14ac:dyDescent="0.15">
      <c r="A881" t="s">
        <v>72</v>
      </c>
      <c r="B881" t="s">
        <v>11755</v>
      </c>
      <c r="C881" t="s">
        <v>74</v>
      </c>
      <c r="D881" t="s">
        <v>74</v>
      </c>
      <c r="E881" t="s">
        <v>74</v>
      </c>
      <c r="F881" t="s">
        <v>11755</v>
      </c>
      <c r="G881" t="s">
        <v>74</v>
      </c>
      <c r="H881" t="s">
        <v>74</v>
      </c>
      <c r="I881" t="s">
        <v>11756</v>
      </c>
      <c r="J881" t="s">
        <v>11757</v>
      </c>
      <c r="K881" t="s">
        <v>74</v>
      </c>
      <c r="L881" t="s">
        <v>74</v>
      </c>
      <c r="M881" t="s">
        <v>77</v>
      </c>
      <c r="N881" t="s">
        <v>120</v>
      </c>
      <c r="O881" t="s">
        <v>74</v>
      </c>
      <c r="P881" t="s">
        <v>74</v>
      </c>
      <c r="Q881" t="s">
        <v>74</v>
      </c>
      <c r="R881" t="s">
        <v>74</v>
      </c>
      <c r="S881" t="s">
        <v>74</v>
      </c>
      <c r="T881" t="s">
        <v>11758</v>
      </c>
      <c r="U881" t="s">
        <v>11759</v>
      </c>
      <c r="V881" t="s">
        <v>11760</v>
      </c>
      <c r="W881" t="s">
        <v>11761</v>
      </c>
      <c r="X881" t="s">
        <v>11762</v>
      </c>
      <c r="Y881" t="s">
        <v>11763</v>
      </c>
      <c r="Z881" t="s">
        <v>11764</v>
      </c>
      <c r="AA881" t="s">
        <v>74</v>
      </c>
      <c r="AB881" t="s">
        <v>74</v>
      </c>
      <c r="AC881" t="s">
        <v>74</v>
      </c>
      <c r="AD881" t="s">
        <v>74</v>
      </c>
      <c r="AE881" t="s">
        <v>74</v>
      </c>
      <c r="AF881" t="s">
        <v>74</v>
      </c>
      <c r="AG881">
        <v>34</v>
      </c>
      <c r="AH881">
        <v>7</v>
      </c>
      <c r="AI881">
        <v>8</v>
      </c>
      <c r="AJ881">
        <v>0</v>
      </c>
      <c r="AK881">
        <v>6</v>
      </c>
      <c r="AL881" t="s">
        <v>1247</v>
      </c>
      <c r="AM881" t="s">
        <v>1248</v>
      </c>
      <c r="AN881" t="s">
        <v>1249</v>
      </c>
      <c r="AO881" t="s">
        <v>11765</v>
      </c>
      <c r="AP881" t="s">
        <v>11766</v>
      </c>
      <c r="AQ881" t="s">
        <v>74</v>
      </c>
      <c r="AR881" t="s">
        <v>11767</v>
      </c>
      <c r="AS881" t="s">
        <v>11768</v>
      </c>
      <c r="AT881" t="s">
        <v>11316</v>
      </c>
      <c r="AU881">
        <v>2001</v>
      </c>
      <c r="AV881">
        <v>21</v>
      </c>
      <c r="AW881">
        <v>2</v>
      </c>
      <c r="AX881" t="s">
        <v>74</v>
      </c>
      <c r="AY881" t="s">
        <v>74</v>
      </c>
      <c r="AZ881" t="s">
        <v>74</v>
      </c>
      <c r="BA881" t="s">
        <v>74</v>
      </c>
      <c r="BB881">
        <v>249</v>
      </c>
      <c r="BC881">
        <v>267</v>
      </c>
      <c r="BD881" t="s">
        <v>74</v>
      </c>
      <c r="BE881" t="s">
        <v>74</v>
      </c>
      <c r="BF881" t="s">
        <v>74</v>
      </c>
      <c r="BG881" t="s">
        <v>74</v>
      </c>
      <c r="BH881" t="s">
        <v>74</v>
      </c>
      <c r="BI881">
        <v>19</v>
      </c>
      <c r="BJ881" t="s">
        <v>538</v>
      </c>
      <c r="BK881" t="s">
        <v>88</v>
      </c>
      <c r="BL881" t="s">
        <v>538</v>
      </c>
      <c r="BM881" t="s">
        <v>11769</v>
      </c>
      <c r="BN881" t="s">
        <v>74</v>
      </c>
      <c r="BO881" t="s">
        <v>171</v>
      </c>
      <c r="BP881" t="s">
        <v>74</v>
      </c>
      <c r="BQ881" t="s">
        <v>74</v>
      </c>
      <c r="BR881" t="s">
        <v>91</v>
      </c>
      <c r="BS881" t="s">
        <v>11770</v>
      </c>
      <c r="BT881" t="str">
        <f>HYPERLINK("https%3A%2F%2Fwww.webofscience.com%2Fwos%2Fwoscc%2Ffull-record%2FWOS:000167238000006","View Full Record in Web of Science")</f>
        <v>View Full Record in Web of Science</v>
      </c>
    </row>
    <row r="882" spans="1:72" x14ac:dyDescent="0.15">
      <c r="A882" t="s">
        <v>72</v>
      </c>
      <c r="B882" t="s">
        <v>11771</v>
      </c>
      <c r="C882" t="s">
        <v>74</v>
      </c>
      <c r="D882" t="s">
        <v>74</v>
      </c>
      <c r="E882" t="s">
        <v>74</v>
      </c>
      <c r="F882" t="s">
        <v>11771</v>
      </c>
      <c r="G882" t="s">
        <v>74</v>
      </c>
      <c r="H882" t="s">
        <v>74</v>
      </c>
      <c r="I882" t="s">
        <v>11772</v>
      </c>
      <c r="J882" t="s">
        <v>11773</v>
      </c>
      <c r="K882" t="s">
        <v>74</v>
      </c>
      <c r="L882" t="s">
        <v>74</v>
      </c>
      <c r="M882" t="s">
        <v>77</v>
      </c>
      <c r="N882" t="s">
        <v>120</v>
      </c>
      <c r="O882" t="s">
        <v>74</v>
      </c>
      <c r="P882" t="s">
        <v>74</v>
      </c>
      <c r="Q882" t="s">
        <v>74</v>
      </c>
      <c r="R882" t="s">
        <v>74</v>
      </c>
      <c r="S882" t="s">
        <v>74</v>
      </c>
      <c r="T882" t="s">
        <v>74</v>
      </c>
      <c r="U882" t="s">
        <v>11774</v>
      </c>
      <c r="V882" t="s">
        <v>11775</v>
      </c>
      <c r="W882" t="s">
        <v>11776</v>
      </c>
      <c r="X882" t="s">
        <v>11777</v>
      </c>
      <c r="Y882" t="s">
        <v>11778</v>
      </c>
      <c r="Z882" t="s">
        <v>74</v>
      </c>
      <c r="AA882" t="s">
        <v>74</v>
      </c>
      <c r="AB882" t="s">
        <v>11779</v>
      </c>
      <c r="AC882" t="s">
        <v>74</v>
      </c>
      <c r="AD882" t="s">
        <v>74</v>
      </c>
      <c r="AE882" t="s">
        <v>74</v>
      </c>
      <c r="AF882" t="s">
        <v>74</v>
      </c>
      <c r="AG882">
        <v>39</v>
      </c>
      <c r="AH882">
        <v>100</v>
      </c>
      <c r="AI882">
        <v>114</v>
      </c>
      <c r="AJ882">
        <v>5</v>
      </c>
      <c r="AK882">
        <v>22</v>
      </c>
      <c r="AL882" t="s">
        <v>1080</v>
      </c>
      <c r="AM882" t="s">
        <v>80</v>
      </c>
      <c r="AN882" t="s">
        <v>1081</v>
      </c>
      <c r="AO882" t="s">
        <v>11780</v>
      </c>
      <c r="AP882" t="s">
        <v>74</v>
      </c>
      <c r="AQ882" t="s">
        <v>74</v>
      </c>
      <c r="AR882" t="s">
        <v>11781</v>
      </c>
      <c r="AS882" t="s">
        <v>11782</v>
      </c>
      <c r="AT882" t="s">
        <v>11316</v>
      </c>
      <c r="AU882">
        <v>2001</v>
      </c>
      <c r="AV882">
        <v>90</v>
      </c>
      <c r="AW882">
        <v>2</v>
      </c>
      <c r="AX882" t="s">
        <v>74</v>
      </c>
      <c r="AY882" t="s">
        <v>74</v>
      </c>
      <c r="AZ882" t="s">
        <v>74</v>
      </c>
      <c r="BA882" t="s">
        <v>74</v>
      </c>
      <c r="BB882">
        <v>237</v>
      </c>
      <c r="BC882">
        <v>247</v>
      </c>
      <c r="BD882" t="s">
        <v>74</v>
      </c>
      <c r="BE882" t="s">
        <v>11783</v>
      </c>
      <c r="BF882" t="str">
        <f>HYPERLINK("http://dx.doi.org/10.1046/j.1365-2672.2001.01241.x","http://dx.doi.org/10.1046/j.1365-2672.2001.01241.x")</f>
        <v>http://dx.doi.org/10.1046/j.1365-2672.2001.01241.x</v>
      </c>
      <c r="BG882" t="s">
        <v>74</v>
      </c>
      <c r="BH882" t="s">
        <v>74</v>
      </c>
      <c r="BI882">
        <v>11</v>
      </c>
      <c r="BJ882" t="s">
        <v>759</v>
      </c>
      <c r="BK882" t="s">
        <v>88</v>
      </c>
      <c r="BL882" t="s">
        <v>759</v>
      </c>
      <c r="BM882" t="s">
        <v>11784</v>
      </c>
      <c r="BN882">
        <v>11168727</v>
      </c>
      <c r="BO882" t="s">
        <v>74</v>
      </c>
      <c r="BP882" t="s">
        <v>74</v>
      </c>
      <c r="BQ882" t="s">
        <v>74</v>
      </c>
      <c r="BR882" t="s">
        <v>91</v>
      </c>
      <c r="BS882" t="s">
        <v>11785</v>
      </c>
      <c r="BT882" t="str">
        <f>HYPERLINK("https%3A%2F%2Fwww.webofscience.com%2Fwos%2Fwoscc%2Ffull-record%2FWOS:000167239700012","View Full Record in Web of Science")</f>
        <v>View Full Record in Web of Science</v>
      </c>
    </row>
    <row r="883" spans="1:72" x14ac:dyDescent="0.15">
      <c r="A883" t="s">
        <v>72</v>
      </c>
      <c r="B883" t="s">
        <v>11786</v>
      </c>
      <c r="C883" t="s">
        <v>74</v>
      </c>
      <c r="D883" t="s">
        <v>74</v>
      </c>
      <c r="E883" t="s">
        <v>74</v>
      </c>
      <c r="F883" t="s">
        <v>11786</v>
      </c>
      <c r="G883" t="s">
        <v>74</v>
      </c>
      <c r="H883" t="s">
        <v>74</v>
      </c>
      <c r="I883" t="s">
        <v>11787</v>
      </c>
      <c r="J883" t="s">
        <v>11788</v>
      </c>
      <c r="K883" t="s">
        <v>74</v>
      </c>
      <c r="L883" t="s">
        <v>74</v>
      </c>
      <c r="M883" t="s">
        <v>77</v>
      </c>
      <c r="N883" t="s">
        <v>120</v>
      </c>
      <c r="O883" t="s">
        <v>74</v>
      </c>
      <c r="P883" t="s">
        <v>74</v>
      </c>
      <c r="Q883" t="s">
        <v>74</v>
      </c>
      <c r="R883" t="s">
        <v>74</v>
      </c>
      <c r="S883" t="s">
        <v>74</v>
      </c>
      <c r="T883" t="s">
        <v>11789</v>
      </c>
      <c r="U883" t="s">
        <v>11790</v>
      </c>
      <c r="V883" t="s">
        <v>11791</v>
      </c>
      <c r="W883" t="s">
        <v>11792</v>
      </c>
      <c r="X883" t="s">
        <v>11793</v>
      </c>
      <c r="Y883" t="s">
        <v>11794</v>
      </c>
      <c r="Z883" t="s">
        <v>11795</v>
      </c>
      <c r="AA883" t="s">
        <v>11796</v>
      </c>
      <c r="AB883" t="s">
        <v>11797</v>
      </c>
      <c r="AC883" t="s">
        <v>74</v>
      </c>
      <c r="AD883" t="s">
        <v>74</v>
      </c>
      <c r="AE883" t="s">
        <v>74</v>
      </c>
      <c r="AF883" t="s">
        <v>74</v>
      </c>
      <c r="AG883">
        <v>56</v>
      </c>
      <c r="AH883">
        <v>15</v>
      </c>
      <c r="AI883">
        <v>18</v>
      </c>
      <c r="AJ883">
        <v>1</v>
      </c>
      <c r="AK883">
        <v>15</v>
      </c>
      <c r="AL883" t="s">
        <v>488</v>
      </c>
      <c r="AM883" t="s">
        <v>350</v>
      </c>
      <c r="AN883" t="s">
        <v>489</v>
      </c>
      <c r="AO883" t="s">
        <v>11798</v>
      </c>
      <c r="AP883" t="s">
        <v>11799</v>
      </c>
      <c r="AQ883" t="s">
        <v>74</v>
      </c>
      <c r="AR883" t="s">
        <v>11800</v>
      </c>
      <c r="AS883" t="s">
        <v>11801</v>
      </c>
      <c r="AT883" t="s">
        <v>11316</v>
      </c>
      <c r="AU883">
        <v>2001</v>
      </c>
      <c r="AV883">
        <v>223</v>
      </c>
      <c r="AW883" t="s">
        <v>495</v>
      </c>
      <c r="AX883" t="s">
        <v>74</v>
      </c>
      <c r="AY883" t="s">
        <v>74</v>
      </c>
      <c r="AZ883" t="s">
        <v>74</v>
      </c>
      <c r="BA883" t="s">
        <v>74</v>
      </c>
      <c r="BB883">
        <v>285</v>
      </c>
      <c r="BC883">
        <v>305</v>
      </c>
      <c r="BD883" t="s">
        <v>74</v>
      </c>
      <c r="BE883" t="s">
        <v>11802</v>
      </c>
      <c r="BF883" t="str">
        <f>HYPERLINK("http://dx.doi.org/10.1016/S0022-0248(00)01002-2","http://dx.doi.org/10.1016/S0022-0248(00)01002-2")</f>
        <v>http://dx.doi.org/10.1016/S0022-0248(00)01002-2</v>
      </c>
      <c r="BG883" t="s">
        <v>74</v>
      </c>
      <c r="BH883" t="s">
        <v>74</v>
      </c>
      <c r="BI883">
        <v>21</v>
      </c>
      <c r="BJ883" t="s">
        <v>11803</v>
      </c>
      <c r="BK883" t="s">
        <v>88</v>
      </c>
      <c r="BL883" t="s">
        <v>11804</v>
      </c>
      <c r="BM883" t="s">
        <v>11805</v>
      </c>
      <c r="BN883" t="s">
        <v>74</v>
      </c>
      <c r="BO883" t="s">
        <v>74</v>
      </c>
      <c r="BP883" t="s">
        <v>74</v>
      </c>
      <c r="BQ883" t="s">
        <v>74</v>
      </c>
      <c r="BR883" t="s">
        <v>91</v>
      </c>
      <c r="BS883" t="s">
        <v>11806</v>
      </c>
      <c r="BT883" t="str">
        <f>HYPERLINK("https%3A%2F%2Fwww.webofscience.com%2Fwos%2Fwoscc%2Ffull-record%2FWOS:000167306600038","View Full Record in Web of Science")</f>
        <v>View Full Record in Web of Science</v>
      </c>
    </row>
    <row r="884" spans="1:72" x14ac:dyDescent="0.15">
      <c r="A884" t="s">
        <v>72</v>
      </c>
      <c r="B884" t="s">
        <v>11807</v>
      </c>
      <c r="C884" t="s">
        <v>74</v>
      </c>
      <c r="D884" t="s">
        <v>74</v>
      </c>
      <c r="E884" t="s">
        <v>74</v>
      </c>
      <c r="F884" t="s">
        <v>11807</v>
      </c>
      <c r="G884" t="s">
        <v>74</v>
      </c>
      <c r="H884" t="s">
        <v>74</v>
      </c>
      <c r="I884" t="s">
        <v>11808</v>
      </c>
      <c r="J884" t="s">
        <v>1217</v>
      </c>
      <c r="K884" t="s">
        <v>74</v>
      </c>
      <c r="L884" t="s">
        <v>74</v>
      </c>
      <c r="M884" t="s">
        <v>77</v>
      </c>
      <c r="N884" t="s">
        <v>120</v>
      </c>
      <c r="O884" t="s">
        <v>74</v>
      </c>
      <c r="P884" t="s">
        <v>74</v>
      </c>
      <c r="Q884" t="s">
        <v>74</v>
      </c>
      <c r="R884" t="s">
        <v>74</v>
      </c>
      <c r="S884" t="s">
        <v>74</v>
      </c>
      <c r="T884" t="s">
        <v>11809</v>
      </c>
      <c r="U884" t="s">
        <v>11810</v>
      </c>
      <c r="V884" t="s">
        <v>11811</v>
      </c>
      <c r="W884" t="s">
        <v>11812</v>
      </c>
      <c r="X884" t="s">
        <v>11813</v>
      </c>
      <c r="Y884" t="s">
        <v>5587</v>
      </c>
      <c r="Z884" t="s">
        <v>11814</v>
      </c>
      <c r="AA884" t="s">
        <v>11815</v>
      </c>
      <c r="AB884" t="s">
        <v>11816</v>
      </c>
      <c r="AC884" t="s">
        <v>74</v>
      </c>
      <c r="AD884" t="s">
        <v>74</v>
      </c>
      <c r="AE884" t="s">
        <v>74</v>
      </c>
      <c r="AF884" t="s">
        <v>74</v>
      </c>
      <c r="AG884">
        <v>46</v>
      </c>
      <c r="AH884">
        <v>84</v>
      </c>
      <c r="AI884">
        <v>90</v>
      </c>
      <c r="AJ884">
        <v>1</v>
      </c>
      <c r="AK884">
        <v>25</v>
      </c>
      <c r="AL884" t="s">
        <v>1225</v>
      </c>
      <c r="AM884" t="s">
        <v>1226</v>
      </c>
      <c r="AN884" t="s">
        <v>1227</v>
      </c>
      <c r="AO884" t="s">
        <v>1228</v>
      </c>
      <c r="AP884" t="s">
        <v>11817</v>
      </c>
      <c r="AQ884" t="s">
        <v>74</v>
      </c>
      <c r="AR884" t="s">
        <v>1229</v>
      </c>
      <c r="AS884" t="s">
        <v>1230</v>
      </c>
      <c r="AT884" t="s">
        <v>11316</v>
      </c>
      <c r="AU884">
        <v>2001</v>
      </c>
      <c r="AV884">
        <v>204</v>
      </c>
      <c r="AW884">
        <v>4</v>
      </c>
      <c r="AX884" t="s">
        <v>74</v>
      </c>
      <c r="AY884" t="s">
        <v>74</v>
      </c>
      <c r="AZ884" t="s">
        <v>74</v>
      </c>
      <c r="BA884" t="s">
        <v>74</v>
      </c>
      <c r="BB884">
        <v>673</v>
      </c>
      <c r="BC884">
        <v>684</v>
      </c>
      <c r="BD884" t="s">
        <v>74</v>
      </c>
      <c r="BE884" t="s">
        <v>74</v>
      </c>
      <c r="BF884" t="s">
        <v>74</v>
      </c>
      <c r="BG884" t="s">
        <v>74</v>
      </c>
      <c r="BH884" t="s">
        <v>74</v>
      </c>
      <c r="BI884">
        <v>12</v>
      </c>
      <c r="BJ884" t="s">
        <v>1231</v>
      </c>
      <c r="BK884" t="s">
        <v>88</v>
      </c>
      <c r="BL884" t="s">
        <v>1232</v>
      </c>
      <c r="BM884" t="s">
        <v>11818</v>
      </c>
      <c r="BN884">
        <v>11171349</v>
      </c>
      <c r="BO884" t="s">
        <v>74</v>
      </c>
      <c r="BP884" t="s">
        <v>74</v>
      </c>
      <c r="BQ884" t="s">
        <v>74</v>
      </c>
      <c r="BR884" t="s">
        <v>91</v>
      </c>
      <c r="BS884" t="s">
        <v>11819</v>
      </c>
      <c r="BT884" t="str">
        <f>HYPERLINK("https%3A%2F%2Fwww.webofscience.com%2Fwos%2Fwoscc%2Ffull-record%2FWOS:000167441000006","View Full Record in Web of Science")</f>
        <v>View Full Record in Web of Science</v>
      </c>
    </row>
    <row r="885" spans="1:72" x14ac:dyDescent="0.15">
      <c r="A885" t="s">
        <v>72</v>
      </c>
      <c r="B885" t="s">
        <v>11820</v>
      </c>
      <c r="C885" t="s">
        <v>74</v>
      </c>
      <c r="D885" t="s">
        <v>74</v>
      </c>
      <c r="E885" t="s">
        <v>74</v>
      </c>
      <c r="F885" t="s">
        <v>11820</v>
      </c>
      <c r="G885" t="s">
        <v>74</v>
      </c>
      <c r="H885" t="s">
        <v>74</v>
      </c>
      <c r="I885" t="s">
        <v>11821</v>
      </c>
      <c r="J885" t="s">
        <v>1217</v>
      </c>
      <c r="K885" t="s">
        <v>74</v>
      </c>
      <c r="L885" t="s">
        <v>74</v>
      </c>
      <c r="M885" t="s">
        <v>77</v>
      </c>
      <c r="N885" t="s">
        <v>120</v>
      </c>
      <c r="O885" t="s">
        <v>74</v>
      </c>
      <c r="P885" t="s">
        <v>74</v>
      </c>
      <c r="Q885" t="s">
        <v>74</v>
      </c>
      <c r="R885" t="s">
        <v>74</v>
      </c>
      <c r="S885" t="s">
        <v>74</v>
      </c>
      <c r="T885" t="s">
        <v>11822</v>
      </c>
      <c r="U885" t="s">
        <v>11823</v>
      </c>
      <c r="V885" t="s">
        <v>11824</v>
      </c>
      <c r="W885" t="s">
        <v>11825</v>
      </c>
      <c r="X885" t="s">
        <v>11826</v>
      </c>
      <c r="Y885" t="s">
        <v>11827</v>
      </c>
      <c r="Z885" t="s">
        <v>11828</v>
      </c>
      <c r="AA885" t="s">
        <v>11829</v>
      </c>
      <c r="AB885" t="s">
        <v>11830</v>
      </c>
      <c r="AC885" t="s">
        <v>74</v>
      </c>
      <c r="AD885" t="s">
        <v>74</v>
      </c>
      <c r="AE885" t="s">
        <v>74</v>
      </c>
      <c r="AF885" t="s">
        <v>74</v>
      </c>
      <c r="AG885">
        <v>18</v>
      </c>
      <c r="AH885">
        <v>167</v>
      </c>
      <c r="AI885">
        <v>195</v>
      </c>
      <c r="AJ885">
        <v>3</v>
      </c>
      <c r="AK885">
        <v>52</v>
      </c>
      <c r="AL885" t="s">
        <v>1225</v>
      </c>
      <c r="AM885" t="s">
        <v>1226</v>
      </c>
      <c r="AN885" t="s">
        <v>1227</v>
      </c>
      <c r="AO885" t="s">
        <v>1228</v>
      </c>
      <c r="AP885" t="s">
        <v>11817</v>
      </c>
      <c r="AQ885" t="s">
        <v>74</v>
      </c>
      <c r="AR885" t="s">
        <v>1229</v>
      </c>
      <c r="AS885" t="s">
        <v>1230</v>
      </c>
      <c r="AT885" t="s">
        <v>11316</v>
      </c>
      <c r="AU885">
        <v>2001</v>
      </c>
      <c r="AV885">
        <v>204</v>
      </c>
      <c r="AW885">
        <v>4</v>
      </c>
      <c r="AX885" t="s">
        <v>74</v>
      </c>
      <c r="AY885" t="s">
        <v>74</v>
      </c>
      <c r="AZ885" t="s">
        <v>74</v>
      </c>
      <c r="BA885" t="s">
        <v>74</v>
      </c>
      <c r="BB885">
        <v>685</v>
      </c>
      <c r="BC885">
        <v>690</v>
      </c>
      <c r="BD885" t="s">
        <v>74</v>
      </c>
      <c r="BE885" t="s">
        <v>74</v>
      </c>
      <c r="BF885" t="s">
        <v>74</v>
      </c>
      <c r="BG885" t="s">
        <v>74</v>
      </c>
      <c r="BH885" t="s">
        <v>74</v>
      </c>
      <c r="BI885">
        <v>6</v>
      </c>
      <c r="BJ885" t="s">
        <v>1231</v>
      </c>
      <c r="BK885" t="s">
        <v>88</v>
      </c>
      <c r="BL885" t="s">
        <v>1232</v>
      </c>
      <c r="BM885" t="s">
        <v>11818</v>
      </c>
      <c r="BN885">
        <v>11171350</v>
      </c>
      <c r="BO885" t="s">
        <v>74</v>
      </c>
      <c r="BP885" t="s">
        <v>74</v>
      </c>
      <c r="BQ885" t="s">
        <v>74</v>
      </c>
      <c r="BR885" t="s">
        <v>91</v>
      </c>
      <c r="BS885" t="s">
        <v>11831</v>
      </c>
      <c r="BT885" t="str">
        <f>HYPERLINK("https%3A%2F%2Fwww.webofscience.com%2Fwos%2Fwoscc%2Ffull-record%2FWOS:000167441000007","View Full Record in Web of Science")</f>
        <v>View Full Record in Web of Science</v>
      </c>
    </row>
    <row r="886" spans="1:72" x14ac:dyDescent="0.15">
      <c r="A886" t="s">
        <v>72</v>
      </c>
      <c r="B886" t="s">
        <v>11832</v>
      </c>
      <c r="C886" t="s">
        <v>74</v>
      </c>
      <c r="D886" t="s">
        <v>74</v>
      </c>
      <c r="E886" t="s">
        <v>74</v>
      </c>
      <c r="F886" t="s">
        <v>11832</v>
      </c>
      <c r="G886" t="s">
        <v>74</v>
      </c>
      <c r="H886" t="s">
        <v>74</v>
      </c>
      <c r="I886" t="s">
        <v>11833</v>
      </c>
      <c r="J886" t="s">
        <v>1237</v>
      </c>
      <c r="K886" t="s">
        <v>74</v>
      </c>
      <c r="L886" t="s">
        <v>74</v>
      </c>
      <c r="M886" t="s">
        <v>77</v>
      </c>
      <c r="N886" t="s">
        <v>120</v>
      </c>
      <c r="O886" t="s">
        <v>74</v>
      </c>
      <c r="P886" t="s">
        <v>74</v>
      </c>
      <c r="Q886" t="s">
        <v>74</v>
      </c>
      <c r="R886" t="s">
        <v>74</v>
      </c>
      <c r="S886" t="s">
        <v>74</v>
      </c>
      <c r="T886" t="s">
        <v>11834</v>
      </c>
      <c r="U886" t="s">
        <v>11835</v>
      </c>
      <c r="V886" t="s">
        <v>11836</v>
      </c>
      <c r="W886" t="s">
        <v>461</v>
      </c>
      <c r="X886" t="s">
        <v>462</v>
      </c>
      <c r="Y886" t="s">
        <v>3374</v>
      </c>
      <c r="Z886" t="s">
        <v>11837</v>
      </c>
      <c r="AA886" t="s">
        <v>74</v>
      </c>
      <c r="AB886" t="s">
        <v>74</v>
      </c>
      <c r="AC886" t="s">
        <v>74</v>
      </c>
      <c r="AD886" t="s">
        <v>74</v>
      </c>
      <c r="AE886" t="s">
        <v>74</v>
      </c>
      <c r="AF886" t="s">
        <v>74</v>
      </c>
      <c r="AG886">
        <v>35</v>
      </c>
      <c r="AH886">
        <v>27</v>
      </c>
      <c r="AI886">
        <v>29</v>
      </c>
      <c r="AJ886">
        <v>0</v>
      </c>
      <c r="AK886">
        <v>14</v>
      </c>
      <c r="AL886" t="s">
        <v>1247</v>
      </c>
      <c r="AM886" t="s">
        <v>1248</v>
      </c>
      <c r="AN886" t="s">
        <v>1249</v>
      </c>
      <c r="AO886" t="s">
        <v>1250</v>
      </c>
      <c r="AP886" t="s">
        <v>1251</v>
      </c>
      <c r="AQ886" t="s">
        <v>74</v>
      </c>
      <c r="AR886" t="s">
        <v>1252</v>
      </c>
      <c r="AS886" t="s">
        <v>1253</v>
      </c>
      <c r="AT886" t="s">
        <v>11316</v>
      </c>
      <c r="AU886">
        <v>2001</v>
      </c>
      <c r="AV886">
        <v>58</v>
      </c>
      <c r="AW886">
        <v>2</v>
      </c>
      <c r="AX886" t="s">
        <v>74</v>
      </c>
      <c r="AY886" t="s">
        <v>74</v>
      </c>
      <c r="AZ886" t="s">
        <v>74</v>
      </c>
      <c r="BA886" t="s">
        <v>74</v>
      </c>
      <c r="BB886">
        <v>496</v>
      </c>
      <c r="BC886">
        <v>505</v>
      </c>
      <c r="BD886" t="s">
        <v>74</v>
      </c>
      <c r="BE886" t="s">
        <v>11838</v>
      </c>
      <c r="BF886" t="str">
        <f>HYPERLINK("http://dx.doi.org/10.1006/jfbi.2000.1469","http://dx.doi.org/10.1006/jfbi.2000.1469")</f>
        <v>http://dx.doi.org/10.1006/jfbi.2000.1469</v>
      </c>
      <c r="BG886" t="s">
        <v>74</v>
      </c>
      <c r="BH886" t="s">
        <v>74</v>
      </c>
      <c r="BI886">
        <v>10</v>
      </c>
      <c r="BJ886" t="s">
        <v>1255</v>
      </c>
      <c r="BK886" t="s">
        <v>88</v>
      </c>
      <c r="BL886" t="s">
        <v>1255</v>
      </c>
      <c r="BM886" t="s">
        <v>11839</v>
      </c>
      <c r="BN886" t="s">
        <v>74</v>
      </c>
      <c r="BO886" t="s">
        <v>74</v>
      </c>
      <c r="BP886" t="s">
        <v>74</v>
      </c>
      <c r="BQ886" t="s">
        <v>74</v>
      </c>
      <c r="BR886" t="s">
        <v>91</v>
      </c>
      <c r="BS886" t="s">
        <v>11840</v>
      </c>
      <c r="BT886" t="str">
        <f>HYPERLINK("https%3A%2F%2Fwww.webofscience.com%2Fwos%2Fwoscc%2Ffull-record%2FWOS:000167189600014","View Full Record in Web of Science")</f>
        <v>View Full Record in Web of Science</v>
      </c>
    </row>
    <row r="887" spans="1:72" x14ac:dyDescent="0.15">
      <c r="A887" t="s">
        <v>72</v>
      </c>
      <c r="B887" t="s">
        <v>11841</v>
      </c>
      <c r="C887" t="s">
        <v>74</v>
      </c>
      <c r="D887" t="s">
        <v>74</v>
      </c>
      <c r="E887" t="s">
        <v>74</v>
      </c>
      <c r="F887" t="s">
        <v>11841</v>
      </c>
      <c r="G887" t="s">
        <v>74</v>
      </c>
      <c r="H887" t="s">
        <v>74</v>
      </c>
      <c r="I887" t="s">
        <v>11842</v>
      </c>
      <c r="J887" t="s">
        <v>1272</v>
      </c>
      <c r="K887" t="s">
        <v>74</v>
      </c>
      <c r="L887" t="s">
        <v>74</v>
      </c>
      <c r="M887" t="s">
        <v>77</v>
      </c>
      <c r="N887" t="s">
        <v>120</v>
      </c>
      <c r="O887" t="s">
        <v>74</v>
      </c>
      <c r="P887" t="s">
        <v>74</v>
      </c>
      <c r="Q887" t="s">
        <v>74</v>
      </c>
      <c r="R887" t="s">
        <v>74</v>
      </c>
      <c r="S887" t="s">
        <v>74</v>
      </c>
      <c r="T887" t="s">
        <v>74</v>
      </c>
      <c r="U887" t="s">
        <v>11843</v>
      </c>
      <c r="V887" t="s">
        <v>11844</v>
      </c>
      <c r="W887" t="s">
        <v>11845</v>
      </c>
      <c r="X887" t="s">
        <v>11846</v>
      </c>
      <c r="Y887" t="s">
        <v>11847</v>
      </c>
      <c r="Z887" t="s">
        <v>11848</v>
      </c>
      <c r="AA887" t="s">
        <v>74</v>
      </c>
      <c r="AB887" t="s">
        <v>74</v>
      </c>
      <c r="AC887" t="s">
        <v>74</v>
      </c>
      <c r="AD887" t="s">
        <v>74</v>
      </c>
      <c r="AE887" t="s">
        <v>74</v>
      </c>
      <c r="AF887" t="s">
        <v>74</v>
      </c>
      <c r="AG887">
        <v>47</v>
      </c>
      <c r="AH887">
        <v>17</v>
      </c>
      <c r="AI887">
        <v>17</v>
      </c>
      <c r="AJ887">
        <v>0</v>
      </c>
      <c r="AK887">
        <v>1</v>
      </c>
      <c r="AL887" t="s">
        <v>149</v>
      </c>
      <c r="AM887" t="s">
        <v>150</v>
      </c>
      <c r="AN887" t="s">
        <v>151</v>
      </c>
      <c r="AO887" t="s">
        <v>1281</v>
      </c>
      <c r="AP887" t="s">
        <v>1282</v>
      </c>
      <c r="AQ887" t="s">
        <v>74</v>
      </c>
      <c r="AR887" t="s">
        <v>1283</v>
      </c>
      <c r="AS887" t="s">
        <v>1284</v>
      </c>
      <c r="AT887" t="s">
        <v>11725</v>
      </c>
      <c r="AU887">
        <v>2001</v>
      </c>
      <c r="AV887">
        <v>106</v>
      </c>
      <c r="AW887" t="s">
        <v>11849</v>
      </c>
      <c r="AX887" t="s">
        <v>74</v>
      </c>
      <c r="AY887" t="s">
        <v>74</v>
      </c>
      <c r="AZ887" t="s">
        <v>74</v>
      </c>
      <c r="BA887" t="s">
        <v>74</v>
      </c>
      <c r="BB887">
        <v>1887</v>
      </c>
      <c r="BC887">
        <v>1901</v>
      </c>
      <c r="BD887" t="s">
        <v>74</v>
      </c>
      <c r="BE887" t="s">
        <v>11850</v>
      </c>
      <c r="BF887" t="str">
        <f>HYPERLINK("http://dx.doi.org/10.1029/2000JA900078","http://dx.doi.org/10.1029/2000JA900078")</f>
        <v>http://dx.doi.org/10.1029/2000JA900078</v>
      </c>
      <c r="BG887" t="s">
        <v>74</v>
      </c>
      <c r="BH887" t="s">
        <v>74</v>
      </c>
      <c r="BI887">
        <v>15</v>
      </c>
      <c r="BJ887" t="s">
        <v>1139</v>
      </c>
      <c r="BK887" t="s">
        <v>88</v>
      </c>
      <c r="BL887" t="s">
        <v>1139</v>
      </c>
      <c r="BM887" t="s">
        <v>11851</v>
      </c>
      <c r="BN887" t="s">
        <v>74</v>
      </c>
      <c r="BO887" t="s">
        <v>171</v>
      </c>
      <c r="BP887" t="s">
        <v>74</v>
      </c>
      <c r="BQ887" t="s">
        <v>74</v>
      </c>
      <c r="BR887" t="s">
        <v>91</v>
      </c>
      <c r="BS887" t="s">
        <v>11852</v>
      </c>
      <c r="BT887" t="str">
        <f>HYPERLINK("https%3A%2F%2Fwww.webofscience.com%2Fwos%2Fwoscc%2Ffull-record%2FWOS:000166575700013","View Full Record in Web of Science")</f>
        <v>View Full Record in Web of Science</v>
      </c>
    </row>
    <row r="888" spans="1:72" x14ac:dyDescent="0.15">
      <c r="A888" t="s">
        <v>72</v>
      </c>
      <c r="B888" t="s">
        <v>11853</v>
      </c>
      <c r="C888" t="s">
        <v>74</v>
      </c>
      <c r="D888" t="s">
        <v>74</v>
      </c>
      <c r="E888" t="s">
        <v>74</v>
      </c>
      <c r="F888" t="s">
        <v>11853</v>
      </c>
      <c r="G888" t="s">
        <v>74</v>
      </c>
      <c r="H888" t="s">
        <v>74</v>
      </c>
      <c r="I888" t="s">
        <v>11854</v>
      </c>
      <c r="J888" t="s">
        <v>5181</v>
      </c>
      <c r="K888" t="s">
        <v>74</v>
      </c>
      <c r="L888" t="s">
        <v>74</v>
      </c>
      <c r="M888" t="s">
        <v>77</v>
      </c>
      <c r="N888" t="s">
        <v>120</v>
      </c>
      <c r="O888" t="s">
        <v>74</v>
      </c>
      <c r="P888" t="s">
        <v>74</v>
      </c>
      <c r="Q888" t="s">
        <v>74</v>
      </c>
      <c r="R888" t="s">
        <v>74</v>
      </c>
      <c r="S888" t="s">
        <v>74</v>
      </c>
      <c r="T888" t="s">
        <v>11855</v>
      </c>
      <c r="U888" t="s">
        <v>11856</v>
      </c>
      <c r="V888" t="s">
        <v>11857</v>
      </c>
      <c r="W888" t="s">
        <v>11858</v>
      </c>
      <c r="X888" t="s">
        <v>1917</v>
      </c>
      <c r="Y888" t="s">
        <v>11859</v>
      </c>
      <c r="Z888" t="s">
        <v>74</v>
      </c>
      <c r="AA888" t="s">
        <v>74</v>
      </c>
      <c r="AB888" t="s">
        <v>11860</v>
      </c>
      <c r="AC888" t="s">
        <v>74</v>
      </c>
      <c r="AD888" t="s">
        <v>74</v>
      </c>
      <c r="AE888" t="s">
        <v>74</v>
      </c>
      <c r="AF888" t="s">
        <v>74</v>
      </c>
      <c r="AG888">
        <v>35</v>
      </c>
      <c r="AH888">
        <v>53</v>
      </c>
      <c r="AI888">
        <v>66</v>
      </c>
      <c r="AJ888">
        <v>1</v>
      </c>
      <c r="AK888">
        <v>21</v>
      </c>
      <c r="AL888" t="s">
        <v>5208</v>
      </c>
      <c r="AM888" t="s">
        <v>5209</v>
      </c>
      <c r="AN888" t="s">
        <v>5210</v>
      </c>
      <c r="AO888" t="s">
        <v>5191</v>
      </c>
      <c r="AP888" t="s">
        <v>74</v>
      </c>
      <c r="AQ888" t="s">
        <v>74</v>
      </c>
      <c r="AR888" t="s">
        <v>5193</v>
      </c>
      <c r="AS888" t="s">
        <v>5194</v>
      </c>
      <c r="AT888" t="s">
        <v>11316</v>
      </c>
      <c r="AU888">
        <v>2001</v>
      </c>
      <c r="AV888">
        <v>37</v>
      </c>
      <c r="AW888">
        <v>1</v>
      </c>
      <c r="AX888" t="s">
        <v>74</v>
      </c>
      <c r="AY888" t="s">
        <v>74</v>
      </c>
      <c r="AZ888" t="s">
        <v>74</v>
      </c>
      <c r="BA888" t="s">
        <v>74</v>
      </c>
      <c r="BB888">
        <v>5</v>
      </c>
      <c r="BC888">
        <v>15</v>
      </c>
      <c r="BD888" t="s">
        <v>74</v>
      </c>
      <c r="BE888" t="s">
        <v>11861</v>
      </c>
      <c r="BF888" t="str">
        <f>HYPERLINK("http://dx.doi.org/10.1046/j.1529-8817.1999.014012005.x","http://dx.doi.org/10.1046/j.1529-8817.1999.014012005.x")</f>
        <v>http://dx.doi.org/10.1046/j.1529-8817.1999.014012005.x</v>
      </c>
      <c r="BG888" t="s">
        <v>74</v>
      </c>
      <c r="BH888" t="s">
        <v>74</v>
      </c>
      <c r="BI888">
        <v>11</v>
      </c>
      <c r="BJ888" t="s">
        <v>1035</v>
      </c>
      <c r="BK888" t="s">
        <v>88</v>
      </c>
      <c r="BL888" t="s">
        <v>1035</v>
      </c>
      <c r="BM888" t="s">
        <v>11862</v>
      </c>
      <c r="BN888" t="s">
        <v>74</v>
      </c>
      <c r="BO888" t="s">
        <v>74</v>
      </c>
      <c r="BP888" t="s">
        <v>74</v>
      </c>
      <c r="BQ888" t="s">
        <v>74</v>
      </c>
      <c r="BR888" t="s">
        <v>91</v>
      </c>
      <c r="BS888" t="s">
        <v>11863</v>
      </c>
      <c r="BT888" t="str">
        <f>HYPERLINK("https%3A%2F%2Fwww.webofscience.com%2Fwos%2Fwoscc%2Ffull-record%2FWOS:000167307600001","View Full Record in Web of Science")</f>
        <v>View Full Record in Web of Science</v>
      </c>
    </row>
    <row r="889" spans="1:72" x14ac:dyDescent="0.15">
      <c r="A889" t="s">
        <v>72</v>
      </c>
      <c r="B889" t="s">
        <v>11864</v>
      </c>
      <c r="C889" t="s">
        <v>74</v>
      </c>
      <c r="D889" t="s">
        <v>74</v>
      </c>
      <c r="E889" t="s">
        <v>74</v>
      </c>
      <c r="F889" t="s">
        <v>11864</v>
      </c>
      <c r="G889" t="s">
        <v>74</v>
      </c>
      <c r="H889" t="s">
        <v>74</v>
      </c>
      <c r="I889" t="s">
        <v>11865</v>
      </c>
      <c r="J889" t="s">
        <v>5181</v>
      </c>
      <c r="K889" t="s">
        <v>74</v>
      </c>
      <c r="L889" t="s">
        <v>74</v>
      </c>
      <c r="M889" t="s">
        <v>77</v>
      </c>
      <c r="N889" t="s">
        <v>120</v>
      </c>
      <c r="O889" t="s">
        <v>74</v>
      </c>
      <c r="P889" t="s">
        <v>74</v>
      </c>
      <c r="Q889" t="s">
        <v>74</v>
      </c>
      <c r="R889" t="s">
        <v>74</v>
      </c>
      <c r="S889" t="s">
        <v>74</v>
      </c>
      <c r="T889" t="s">
        <v>11866</v>
      </c>
      <c r="U889" t="s">
        <v>11867</v>
      </c>
      <c r="V889" t="s">
        <v>11868</v>
      </c>
      <c r="W889" t="s">
        <v>11869</v>
      </c>
      <c r="X889" t="s">
        <v>7524</v>
      </c>
      <c r="Y889" t="s">
        <v>11870</v>
      </c>
      <c r="Z889" t="s">
        <v>74</v>
      </c>
      <c r="AA889" t="s">
        <v>74</v>
      </c>
      <c r="AB889" t="s">
        <v>74</v>
      </c>
      <c r="AC889" t="s">
        <v>74</v>
      </c>
      <c r="AD889" t="s">
        <v>74</v>
      </c>
      <c r="AE889" t="s">
        <v>74</v>
      </c>
      <c r="AF889" t="s">
        <v>74</v>
      </c>
      <c r="AG889">
        <v>26</v>
      </c>
      <c r="AH889">
        <v>19</v>
      </c>
      <c r="AI889">
        <v>20</v>
      </c>
      <c r="AJ889">
        <v>0</v>
      </c>
      <c r="AK889">
        <v>4</v>
      </c>
      <c r="AL889" t="s">
        <v>5208</v>
      </c>
      <c r="AM889" t="s">
        <v>5209</v>
      </c>
      <c r="AN889" t="s">
        <v>5210</v>
      </c>
      <c r="AO889" t="s">
        <v>5191</v>
      </c>
      <c r="AP889" t="s">
        <v>74</v>
      </c>
      <c r="AQ889" t="s">
        <v>74</v>
      </c>
      <c r="AR889" t="s">
        <v>5193</v>
      </c>
      <c r="AS889" t="s">
        <v>5194</v>
      </c>
      <c r="AT889" t="s">
        <v>11316</v>
      </c>
      <c r="AU889">
        <v>2001</v>
      </c>
      <c r="AV889">
        <v>37</v>
      </c>
      <c r="AW889">
        <v>1</v>
      </c>
      <c r="AX889" t="s">
        <v>74</v>
      </c>
      <c r="AY889" t="s">
        <v>74</v>
      </c>
      <c r="AZ889" t="s">
        <v>74</v>
      </c>
      <c r="BA889" t="s">
        <v>74</v>
      </c>
      <c r="BB889">
        <v>160</v>
      </c>
      <c r="BC889">
        <v>174</v>
      </c>
      <c r="BD889" t="s">
        <v>74</v>
      </c>
      <c r="BE889" t="s">
        <v>11871</v>
      </c>
      <c r="BF889" t="str">
        <f>HYPERLINK("http://dx.doi.org/10.1046/j.1529-8817.2001.037001160.x","http://dx.doi.org/10.1046/j.1529-8817.2001.037001160.x")</f>
        <v>http://dx.doi.org/10.1046/j.1529-8817.2001.037001160.x</v>
      </c>
      <c r="BG889" t="s">
        <v>74</v>
      </c>
      <c r="BH889" t="s">
        <v>74</v>
      </c>
      <c r="BI889">
        <v>15</v>
      </c>
      <c r="BJ889" t="s">
        <v>1035</v>
      </c>
      <c r="BK889" t="s">
        <v>88</v>
      </c>
      <c r="BL889" t="s">
        <v>1035</v>
      </c>
      <c r="BM889" t="s">
        <v>11862</v>
      </c>
      <c r="BN889" t="s">
        <v>74</v>
      </c>
      <c r="BO889" t="s">
        <v>74</v>
      </c>
      <c r="BP889" t="s">
        <v>74</v>
      </c>
      <c r="BQ889" t="s">
        <v>74</v>
      </c>
      <c r="BR889" t="s">
        <v>91</v>
      </c>
      <c r="BS889" t="s">
        <v>11872</v>
      </c>
      <c r="BT889" t="str">
        <f>HYPERLINK("https%3A%2F%2Fwww.webofscience.com%2Fwos%2Fwoscc%2Ffull-record%2FWOS:000167307600017","View Full Record in Web of Science")</f>
        <v>View Full Record in Web of Science</v>
      </c>
    </row>
    <row r="890" spans="1:72" x14ac:dyDescent="0.15">
      <c r="A890" t="s">
        <v>72</v>
      </c>
      <c r="B890" t="s">
        <v>11873</v>
      </c>
      <c r="C890" t="s">
        <v>74</v>
      </c>
      <c r="D890" t="s">
        <v>74</v>
      </c>
      <c r="E890" t="s">
        <v>74</v>
      </c>
      <c r="F890" t="s">
        <v>11873</v>
      </c>
      <c r="G890" t="s">
        <v>74</v>
      </c>
      <c r="H890" t="s">
        <v>74</v>
      </c>
      <c r="I890" t="s">
        <v>11874</v>
      </c>
      <c r="J890" t="s">
        <v>5181</v>
      </c>
      <c r="K890" t="s">
        <v>74</v>
      </c>
      <c r="L890" t="s">
        <v>74</v>
      </c>
      <c r="M890" t="s">
        <v>77</v>
      </c>
      <c r="N890" t="s">
        <v>120</v>
      </c>
      <c r="O890" t="s">
        <v>74</v>
      </c>
      <c r="P890" t="s">
        <v>74</v>
      </c>
      <c r="Q890" t="s">
        <v>74</v>
      </c>
      <c r="R890" t="s">
        <v>74</v>
      </c>
      <c r="S890" t="s">
        <v>74</v>
      </c>
      <c r="T890" t="s">
        <v>11875</v>
      </c>
      <c r="U890" t="s">
        <v>11876</v>
      </c>
      <c r="V890" t="s">
        <v>11877</v>
      </c>
      <c r="W890" t="s">
        <v>11878</v>
      </c>
      <c r="X890" t="s">
        <v>11879</v>
      </c>
      <c r="Y890" t="s">
        <v>11880</v>
      </c>
      <c r="Z890" t="s">
        <v>74</v>
      </c>
      <c r="AA890" t="s">
        <v>11881</v>
      </c>
      <c r="AB890" t="s">
        <v>11882</v>
      </c>
      <c r="AC890" t="s">
        <v>74</v>
      </c>
      <c r="AD890" t="s">
        <v>74</v>
      </c>
      <c r="AE890" t="s">
        <v>74</v>
      </c>
      <c r="AF890" t="s">
        <v>74</v>
      </c>
      <c r="AG890">
        <v>62</v>
      </c>
      <c r="AH890">
        <v>64</v>
      </c>
      <c r="AI890">
        <v>70</v>
      </c>
      <c r="AJ890">
        <v>0</v>
      </c>
      <c r="AK890">
        <v>24</v>
      </c>
      <c r="AL890" t="s">
        <v>5208</v>
      </c>
      <c r="AM890" t="s">
        <v>5209</v>
      </c>
      <c r="AN890" t="s">
        <v>5210</v>
      </c>
      <c r="AO890" t="s">
        <v>5191</v>
      </c>
      <c r="AP890" t="s">
        <v>74</v>
      </c>
      <c r="AQ890" t="s">
        <v>74</v>
      </c>
      <c r="AR890" t="s">
        <v>5193</v>
      </c>
      <c r="AS890" t="s">
        <v>5194</v>
      </c>
      <c r="AT890" t="s">
        <v>11316</v>
      </c>
      <c r="AU890">
        <v>2001</v>
      </c>
      <c r="AV890">
        <v>37</v>
      </c>
      <c r="AW890">
        <v>1</v>
      </c>
      <c r="AX890" t="s">
        <v>74</v>
      </c>
      <c r="AY890" t="s">
        <v>74</v>
      </c>
      <c r="AZ890" t="s">
        <v>74</v>
      </c>
      <c r="BA890" t="s">
        <v>74</v>
      </c>
      <c r="BB890">
        <v>184</v>
      </c>
      <c r="BC890">
        <v>196</v>
      </c>
      <c r="BD890" t="s">
        <v>74</v>
      </c>
      <c r="BE890" t="s">
        <v>11883</v>
      </c>
      <c r="BF890" t="str">
        <f>HYPERLINK("http://dx.doi.org/10.1046/j.1529-8817.2001.037001184.x","http://dx.doi.org/10.1046/j.1529-8817.2001.037001184.x")</f>
        <v>http://dx.doi.org/10.1046/j.1529-8817.2001.037001184.x</v>
      </c>
      <c r="BG890" t="s">
        <v>74</v>
      </c>
      <c r="BH890" t="s">
        <v>74</v>
      </c>
      <c r="BI890">
        <v>13</v>
      </c>
      <c r="BJ890" t="s">
        <v>1035</v>
      </c>
      <c r="BK890" t="s">
        <v>88</v>
      </c>
      <c r="BL890" t="s">
        <v>1035</v>
      </c>
      <c r="BM890" t="s">
        <v>11862</v>
      </c>
      <c r="BN890" t="s">
        <v>74</v>
      </c>
      <c r="BO890" t="s">
        <v>74</v>
      </c>
      <c r="BP890" t="s">
        <v>74</v>
      </c>
      <c r="BQ890" t="s">
        <v>74</v>
      </c>
      <c r="BR890" t="s">
        <v>91</v>
      </c>
      <c r="BS890" t="s">
        <v>11884</v>
      </c>
      <c r="BT890" t="str">
        <f>HYPERLINK("https%3A%2F%2Fwww.webofscience.com%2Fwos%2Fwoscc%2Ffull-record%2FWOS:000167307600019","View Full Record in Web of Science")</f>
        <v>View Full Record in Web of Science</v>
      </c>
    </row>
    <row r="891" spans="1:72" x14ac:dyDescent="0.15">
      <c r="A891" t="s">
        <v>72</v>
      </c>
      <c r="B891" t="s">
        <v>11885</v>
      </c>
      <c r="C891" t="s">
        <v>74</v>
      </c>
      <c r="D891" t="s">
        <v>74</v>
      </c>
      <c r="E891" t="s">
        <v>74</v>
      </c>
      <c r="F891" t="s">
        <v>11885</v>
      </c>
      <c r="G891" t="s">
        <v>74</v>
      </c>
      <c r="H891" t="s">
        <v>74</v>
      </c>
      <c r="I891" t="s">
        <v>11886</v>
      </c>
      <c r="J891" t="s">
        <v>11887</v>
      </c>
      <c r="K891" t="s">
        <v>74</v>
      </c>
      <c r="L891" t="s">
        <v>74</v>
      </c>
      <c r="M891" t="s">
        <v>77</v>
      </c>
      <c r="N891" t="s">
        <v>120</v>
      </c>
      <c r="O891" t="s">
        <v>74</v>
      </c>
      <c r="P891" t="s">
        <v>74</v>
      </c>
      <c r="Q891" t="s">
        <v>74</v>
      </c>
      <c r="R891" t="s">
        <v>74</v>
      </c>
      <c r="S891" t="s">
        <v>74</v>
      </c>
      <c r="T891" t="s">
        <v>11888</v>
      </c>
      <c r="U891" t="s">
        <v>11889</v>
      </c>
      <c r="V891" t="s">
        <v>11890</v>
      </c>
      <c r="W891" t="s">
        <v>11891</v>
      </c>
      <c r="X891" t="s">
        <v>11892</v>
      </c>
      <c r="Y891" t="s">
        <v>11893</v>
      </c>
      <c r="Z891" t="s">
        <v>74</v>
      </c>
      <c r="AA891" t="s">
        <v>74</v>
      </c>
      <c r="AB891" t="s">
        <v>74</v>
      </c>
      <c r="AC891" t="s">
        <v>74</v>
      </c>
      <c r="AD891" t="s">
        <v>74</v>
      </c>
      <c r="AE891" t="s">
        <v>74</v>
      </c>
      <c r="AF891" t="s">
        <v>74</v>
      </c>
      <c r="AG891">
        <v>14</v>
      </c>
      <c r="AH891">
        <v>5</v>
      </c>
      <c r="AI891">
        <v>5</v>
      </c>
      <c r="AJ891">
        <v>0</v>
      </c>
      <c r="AK891">
        <v>1</v>
      </c>
      <c r="AL891" t="s">
        <v>79</v>
      </c>
      <c r="AM891" t="s">
        <v>80</v>
      </c>
      <c r="AN891" t="s">
        <v>81</v>
      </c>
      <c r="AO891" t="s">
        <v>11894</v>
      </c>
      <c r="AP891" t="s">
        <v>74</v>
      </c>
      <c r="AQ891" t="s">
        <v>74</v>
      </c>
      <c r="AR891" t="s">
        <v>11895</v>
      </c>
      <c r="AS891" t="s">
        <v>11896</v>
      </c>
      <c r="AT891" t="s">
        <v>11725</v>
      </c>
      <c r="AU891">
        <v>2001</v>
      </c>
      <c r="AV891">
        <v>68</v>
      </c>
      <c r="AW891">
        <v>3</v>
      </c>
      <c r="AX891" t="s">
        <v>74</v>
      </c>
      <c r="AY891" t="s">
        <v>74</v>
      </c>
      <c r="AZ891" t="s">
        <v>74</v>
      </c>
      <c r="BA891" t="s">
        <v>74</v>
      </c>
      <c r="BB891">
        <v>327</v>
      </c>
      <c r="BC891">
        <v>336</v>
      </c>
      <c r="BD891" t="s">
        <v>74</v>
      </c>
      <c r="BE891" t="s">
        <v>11897</v>
      </c>
      <c r="BF891" t="str">
        <f>HYPERLINK("http://dx.doi.org/10.1016/S0022-4073(00)00057-1","http://dx.doi.org/10.1016/S0022-4073(00)00057-1")</f>
        <v>http://dx.doi.org/10.1016/S0022-4073(00)00057-1</v>
      </c>
      <c r="BG891" t="s">
        <v>74</v>
      </c>
      <c r="BH891" t="s">
        <v>74</v>
      </c>
      <c r="BI891">
        <v>10</v>
      </c>
      <c r="BJ891" t="s">
        <v>11898</v>
      </c>
      <c r="BK891" t="s">
        <v>88</v>
      </c>
      <c r="BL891" t="s">
        <v>11898</v>
      </c>
      <c r="BM891" t="s">
        <v>11899</v>
      </c>
      <c r="BN891" t="s">
        <v>74</v>
      </c>
      <c r="BO891" t="s">
        <v>74</v>
      </c>
      <c r="BP891" t="s">
        <v>74</v>
      </c>
      <c r="BQ891" t="s">
        <v>74</v>
      </c>
      <c r="BR891" t="s">
        <v>91</v>
      </c>
      <c r="BS891" t="s">
        <v>11900</v>
      </c>
      <c r="BT891" t="str">
        <f>HYPERLINK("https%3A%2F%2Fwww.webofscience.com%2Fwos%2Fwoscc%2Ffull-record%2FWOS:000165350600006","View Full Record in Web of Science")</f>
        <v>View Full Record in Web of Science</v>
      </c>
    </row>
    <row r="892" spans="1:72" x14ac:dyDescent="0.15">
      <c r="A892" t="s">
        <v>72</v>
      </c>
      <c r="B892" t="s">
        <v>11901</v>
      </c>
      <c r="C892" t="s">
        <v>74</v>
      </c>
      <c r="D892" t="s">
        <v>74</v>
      </c>
      <c r="E892" t="s">
        <v>74</v>
      </c>
      <c r="F892" t="s">
        <v>11901</v>
      </c>
      <c r="G892" t="s">
        <v>74</v>
      </c>
      <c r="H892" t="s">
        <v>74</v>
      </c>
      <c r="I892" t="s">
        <v>11902</v>
      </c>
      <c r="J892" t="s">
        <v>11887</v>
      </c>
      <c r="K892" t="s">
        <v>74</v>
      </c>
      <c r="L892" t="s">
        <v>74</v>
      </c>
      <c r="M892" t="s">
        <v>77</v>
      </c>
      <c r="N892" t="s">
        <v>120</v>
      </c>
      <c r="O892" t="s">
        <v>74</v>
      </c>
      <c r="P892" t="s">
        <v>74</v>
      </c>
      <c r="Q892" t="s">
        <v>74</v>
      </c>
      <c r="R892" t="s">
        <v>74</v>
      </c>
      <c r="S892" t="s">
        <v>74</v>
      </c>
      <c r="T892" t="s">
        <v>11903</v>
      </c>
      <c r="U892" t="s">
        <v>11904</v>
      </c>
      <c r="V892" t="s">
        <v>11905</v>
      </c>
      <c r="W892" t="s">
        <v>11906</v>
      </c>
      <c r="X892" t="s">
        <v>11907</v>
      </c>
      <c r="Y892" t="s">
        <v>11908</v>
      </c>
      <c r="Z892" t="s">
        <v>74</v>
      </c>
      <c r="AA892" t="s">
        <v>11909</v>
      </c>
      <c r="AB892" t="s">
        <v>11910</v>
      </c>
      <c r="AC892" t="s">
        <v>74</v>
      </c>
      <c r="AD892" t="s">
        <v>74</v>
      </c>
      <c r="AE892" t="s">
        <v>74</v>
      </c>
      <c r="AF892" t="s">
        <v>74</v>
      </c>
      <c r="AG892">
        <v>13</v>
      </c>
      <c r="AH892">
        <v>7</v>
      </c>
      <c r="AI892">
        <v>8</v>
      </c>
      <c r="AJ892">
        <v>0</v>
      </c>
      <c r="AK892">
        <v>2</v>
      </c>
      <c r="AL892" t="s">
        <v>79</v>
      </c>
      <c r="AM892" t="s">
        <v>80</v>
      </c>
      <c r="AN892" t="s">
        <v>81</v>
      </c>
      <c r="AO892" t="s">
        <v>11894</v>
      </c>
      <c r="AP892" t="s">
        <v>74</v>
      </c>
      <c r="AQ892" t="s">
        <v>74</v>
      </c>
      <c r="AR892" t="s">
        <v>11895</v>
      </c>
      <c r="AS892" t="s">
        <v>11896</v>
      </c>
      <c r="AT892" t="s">
        <v>11725</v>
      </c>
      <c r="AU892">
        <v>2001</v>
      </c>
      <c r="AV892">
        <v>68</v>
      </c>
      <c r="AW892">
        <v>3</v>
      </c>
      <c r="AX892" t="s">
        <v>74</v>
      </c>
      <c r="AY892" t="s">
        <v>74</v>
      </c>
      <c r="AZ892" t="s">
        <v>74</v>
      </c>
      <c r="BA892" t="s">
        <v>74</v>
      </c>
      <c r="BB892">
        <v>337</v>
      </c>
      <c r="BC892">
        <v>349</v>
      </c>
      <c r="BD892" t="s">
        <v>74</v>
      </c>
      <c r="BE892" t="s">
        <v>11911</v>
      </c>
      <c r="BF892" t="str">
        <f>HYPERLINK("http://dx.doi.org/10.1016/S0022-4073(00)00058-3","http://dx.doi.org/10.1016/S0022-4073(00)00058-3")</f>
        <v>http://dx.doi.org/10.1016/S0022-4073(00)00058-3</v>
      </c>
      <c r="BG892" t="s">
        <v>74</v>
      </c>
      <c r="BH892" t="s">
        <v>74</v>
      </c>
      <c r="BI892">
        <v>13</v>
      </c>
      <c r="BJ892" t="s">
        <v>11898</v>
      </c>
      <c r="BK892" t="s">
        <v>88</v>
      </c>
      <c r="BL892" t="s">
        <v>11898</v>
      </c>
      <c r="BM892" t="s">
        <v>11899</v>
      </c>
      <c r="BN892" t="s">
        <v>74</v>
      </c>
      <c r="BO892" t="s">
        <v>74</v>
      </c>
      <c r="BP892" t="s">
        <v>74</v>
      </c>
      <c r="BQ892" t="s">
        <v>74</v>
      </c>
      <c r="BR892" t="s">
        <v>91</v>
      </c>
      <c r="BS892" t="s">
        <v>11912</v>
      </c>
      <c r="BT892" t="str">
        <f>HYPERLINK("https%3A%2F%2Fwww.webofscience.com%2Fwos%2Fwoscc%2Ffull-record%2FWOS:000165350600007","View Full Record in Web of Science")</f>
        <v>View Full Record in Web of Science</v>
      </c>
    </row>
    <row r="893" spans="1:72" x14ac:dyDescent="0.15">
      <c r="A893" t="s">
        <v>72</v>
      </c>
      <c r="B893" t="s">
        <v>11913</v>
      </c>
      <c r="C893" t="s">
        <v>74</v>
      </c>
      <c r="D893" t="s">
        <v>74</v>
      </c>
      <c r="E893" t="s">
        <v>74</v>
      </c>
      <c r="F893" t="s">
        <v>11913</v>
      </c>
      <c r="G893" t="s">
        <v>74</v>
      </c>
      <c r="H893" t="s">
        <v>74</v>
      </c>
      <c r="I893" t="s">
        <v>11914</v>
      </c>
      <c r="J893" t="s">
        <v>1415</v>
      </c>
      <c r="K893" t="s">
        <v>74</v>
      </c>
      <c r="L893" t="s">
        <v>74</v>
      </c>
      <c r="M893" t="s">
        <v>77</v>
      </c>
      <c r="N893" t="s">
        <v>96</v>
      </c>
      <c r="O893" t="s">
        <v>74</v>
      </c>
      <c r="P893" t="s">
        <v>74</v>
      </c>
      <c r="Q893" t="s">
        <v>74</v>
      </c>
      <c r="R893" t="s">
        <v>74</v>
      </c>
      <c r="S893" t="s">
        <v>74</v>
      </c>
      <c r="T893" t="s">
        <v>74</v>
      </c>
      <c r="U893" t="s">
        <v>11915</v>
      </c>
      <c r="V893" t="s">
        <v>11916</v>
      </c>
      <c r="W893" t="s">
        <v>2323</v>
      </c>
      <c r="X893" t="s">
        <v>1679</v>
      </c>
      <c r="Y893" t="s">
        <v>11917</v>
      </c>
      <c r="Z893" t="s">
        <v>11918</v>
      </c>
      <c r="AA893" t="s">
        <v>4135</v>
      </c>
      <c r="AB893" t="s">
        <v>4136</v>
      </c>
      <c r="AC893" t="s">
        <v>74</v>
      </c>
      <c r="AD893" t="s">
        <v>74</v>
      </c>
      <c r="AE893" t="s">
        <v>74</v>
      </c>
      <c r="AF893" t="s">
        <v>74</v>
      </c>
      <c r="AG893">
        <v>108</v>
      </c>
      <c r="AH893">
        <v>48</v>
      </c>
      <c r="AI893">
        <v>60</v>
      </c>
      <c r="AJ893">
        <v>0</v>
      </c>
      <c r="AK893">
        <v>17</v>
      </c>
      <c r="AL893" t="s">
        <v>2631</v>
      </c>
      <c r="AM893" t="s">
        <v>2632</v>
      </c>
      <c r="AN893" t="s">
        <v>2633</v>
      </c>
      <c r="AO893" t="s">
        <v>1421</v>
      </c>
      <c r="AP893" t="s">
        <v>2634</v>
      </c>
      <c r="AQ893" t="s">
        <v>74</v>
      </c>
      <c r="AR893" t="s">
        <v>1422</v>
      </c>
      <c r="AS893" t="s">
        <v>1423</v>
      </c>
      <c r="AT893" t="s">
        <v>11316</v>
      </c>
      <c r="AU893">
        <v>2001</v>
      </c>
      <c r="AV893">
        <v>138</v>
      </c>
      <c r="AW893">
        <v>2</v>
      </c>
      <c r="AX893" t="s">
        <v>74</v>
      </c>
      <c r="AY893" t="s">
        <v>74</v>
      </c>
      <c r="AZ893" t="s">
        <v>74</v>
      </c>
      <c r="BA893" t="s">
        <v>74</v>
      </c>
      <c r="BB893">
        <v>247</v>
      </c>
      <c r="BC893">
        <v>257</v>
      </c>
      <c r="BD893" t="s">
        <v>74</v>
      </c>
      <c r="BE893" t="s">
        <v>11919</v>
      </c>
      <c r="BF893" t="str">
        <f>HYPERLINK("http://dx.doi.org/10.1007/s002270000458","http://dx.doi.org/10.1007/s002270000458")</f>
        <v>http://dx.doi.org/10.1007/s002270000458</v>
      </c>
      <c r="BG893" t="s">
        <v>74</v>
      </c>
      <c r="BH893" t="s">
        <v>74</v>
      </c>
      <c r="BI893">
        <v>11</v>
      </c>
      <c r="BJ893" t="s">
        <v>323</v>
      </c>
      <c r="BK893" t="s">
        <v>88</v>
      </c>
      <c r="BL893" t="s">
        <v>323</v>
      </c>
      <c r="BM893" t="s">
        <v>11920</v>
      </c>
      <c r="BN893" t="s">
        <v>74</v>
      </c>
      <c r="BO893" t="s">
        <v>74</v>
      </c>
      <c r="BP893" t="s">
        <v>74</v>
      </c>
      <c r="BQ893" t="s">
        <v>74</v>
      </c>
      <c r="BR893" t="s">
        <v>91</v>
      </c>
      <c r="BS893" t="s">
        <v>11921</v>
      </c>
      <c r="BT893" t="str">
        <f>HYPERLINK("https%3A%2F%2Fwww.webofscience.com%2Fwos%2Fwoscc%2Ffull-record%2FWOS:000167194100003","View Full Record in Web of Science")</f>
        <v>View Full Record in Web of Science</v>
      </c>
    </row>
    <row r="894" spans="1:72" x14ac:dyDescent="0.15">
      <c r="A894" t="s">
        <v>72</v>
      </c>
      <c r="B894" t="s">
        <v>11922</v>
      </c>
      <c r="C894" t="s">
        <v>74</v>
      </c>
      <c r="D894" t="s">
        <v>74</v>
      </c>
      <c r="E894" t="s">
        <v>74</v>
      </c>
      <c r="F894" t="s">
        <v>11922</v>
      </c>
      <c r="G894" t="s">
        <v>74</v>
      </c>
      <c r="H894" t="s">
        <v>74</v>
      </c>
      <c r="I894" t="s">
        <v>11923</v>
      </c>
      <c r="J894" t="s">
        <v>1415</v>
      </c>
      <c r="K894" t="s">
        <v>74</v>
      </c>
      <c r="L894" t="s">
        <v>74</v>
      </c>
      <c r="M894" t="s">
        <v>77</v>
      </c>
      <c r="N894" t="s">
        <v>120</v>
      </c>
      <c r="O894" t="s">
        <v>74</v>
      </c>
      <c r="P894" t="s">
        <v>74</v>
      </c>
      <c r="Q894" t="s">
        <v>74</v>
      </c>
      <c r="R894" t="s">
        <v>74</v>
      </c>
      <c r="S894" t="s">
        <v>74</v>
      </c>
      <c r="T894" t="s">
        <v>74</v>
      </c>
      <c r="U894" t="s">
        <v>11924</v>
      </c>
      <c r="V894" t="s">
        <v>11925</v>
      </c>
      <c r="W894" t="s">
        <v>11926</v>
      </c>
      <c r="X894" t="s">
        <v>11927</v>
      </c>
      <c r="Y894" t="s">
        <v>11928</v>
      </c>
      <c r="Z894" t="s">
        <v>74</v>
      </c>
      <c r="AA894" t="s">
        <v>74</v>
      </c>
      <c r="AB894" t="s">
        <v>74</v>
      </c>
      <c r="AC894" t="s">
        <v>74</v>
      </c>
      <c r="AD894" t="s">
        <v>74</v>
      </c>
      <c r="AE894" t="s">
        <v>74</v>
      </c>
      <c r="AF894" t="s">
        <v>74</v>
      </c>
      <c r="AG894">
        <v>67</v>
      </c>
      <c r="AH894">
        <v>40</v>
      </c>
      <c r="AI894">
        <v>48</v>
      </c>
      <c r="AJ894">
        <v>0</v>
      </c>
      <c r="AK894">
        <v>20</v>
      </c>
      <c r="AL894" t="s">
        <v>203</v>
      </c>
      <c r="AM894" t="s">
        <v>204</v>
      </c>
      <c r="AN894" t="s">
        <v>205</v>
      </c>
      <c r="AO894" t="s">
        <v>1421</v>
      </c>
      <c r="AP894" t="s">
        <v>74</v>
      </c>
      <c r="AQ894" t="s">
        <v>74</v>
      </c>
      <c r="AR894" t="s">
        <v>1422</v>
      </c>
      <c r="AS894" t="s">
        <v>1423</v>
      </c>
      <c r="AT894" t="s">
        <v>11316</v>
      </c>
      <c r="AU894">
        <v>2001</v>
      </c>
      <c r="AV894">
        <v>138</v>
      </c>
      <c r="AW894">
        <v>2</v>
      </c>
      <c r="AX894" t="s">
        <v>74</v>
      </c>
      <c r="AY894" t="s">
        <v>74</v>
      </c>
      <c r="AZ894" t="s">
        <v>74</v>
      </c>
      <c r="BA894" t="s">
        <v>74</v>
      </c>
      <c r="BB894">
        <v>281</v>
      </c>
      <c r="BC894">
        <v>294</v>
      </c>
      <c r="BD894" t="s">
        <v>74</v>
      </c>
      <c r="BE894" t="s">
        <v>11929</v>
      </c>
      <c r="BF894" t="str">
        <f>HYPERLINK("http://dx.doi.org/10.1007/s002270000464","http://dx.doi.org/10.1007/s002270000464")</f>
        <v>http://dx.doi.org/10.1007/s002270000464</v>
      </c>
      <c r="BG894" t="s">
        <v>74</v>
      </c>
      <c r="BH894" t="s">
        <v>74</v>
      </c>
      <c r="BI894">
        <v>14</v>
      </c>
      <c r="BJ894" t="s">
        <v>323</v>
      </c>
      <c r="BK894" t="s">
        <v>88</v>
      </c>
      <c r="BL894" t="s">
        <v>323</v>
      </c>
      <c r="BM894" t="s">
        <v>11920</v>
      </c>
      <c r="BN894" t="s">
        <v>74</v>
      </c>
      <c r="BO894" t="s">
        <v>74</v>
      </c>
      <c r="BP894" t="s">
        <v>74</v>
      </c>
      <c r="BQ894" t="s">
        <v>74</v>
      </c>
      <c r="BR894" t="s">
        <v>91</v>
      </c>
      <c r="BS894" t="s">
        <v>11930</v>
      </c>
      <c r="BT894" t="str">
        <f>HYPERLINK("https%3A%2F%2Fwww.webofscience.com%2Fwos%2Fwoscc%2Ffull-record%2FWOS:000167194100006","View Full Record in Web of Science")</f>
        <v>View Full Record in Web of Science</v>
      </c>
    </row>
    <row r="895" spans="1:72" x14ac:dyDescent="0.15">
      <c r="A895" t="s">
        <v>72</v>
      </c>
      <c r="B895" t="s">
        <v>11931</v>
      </c>
      <c r="C895" t="s">
        <v>74</v>
      </c>
      <c r="D895" t="s">
        <v>74</v>
      </c>
      <c r="E895" t="s">
        <v>74</v>
      </c>
      <c r="F895" t="s">
        <v>11931</v>
      </c>
      <c r="G895" t="s">
        <v>74</v>
      </c>
      <c r="H895" t="s">
        <v>74</v>
      </c>
      <c r="I895" t="s">
        <v>11932</v>
      </c>
      <c r="J895" t="s">
        <v>1415</v>
      </c>
      <c r="K895" t="s">
        <v>74</v>
      </c>
      <c r="L895" t="s">
        <v>74</v>
      </c>
      <c r="M895" t="s">
        <v>77</v>
      </c>
      <c r="N895" t="s">
        <v>120</v>
      </c>
      <c r="O895" t="s">
        <v>74</v>
      </c>
      <c r="P895" t="s">
        <v>74</v>
      </c>
      <c r="Q895" t="s">
        <v>74</v>
      </c>
      <c r="R895" t="s">
        <v>74</v>
      </c>
      <c r="S895" t="s">
        <v>74</v>
      </c>
      <c r="T895" t="s">
        <v>74</v>
      </c>
      <c r="U895" t="s">
        <v>11933</v>
      </c>
      <c r="V895" t="s">
        <v>11934</v>
      </c>
      <c r="W895" t="s">
        <v>11935</v>
      </c>
      <c r="X895" t="s">
        <v>7269</v>
      </c>
      <c r="Y895" t="s">
        <v>11936</v>
      </c>
      <c r="Z895" t="s">
        <v>11937</v>
      </c>
      <c r="AA895" t="s">
        <v>11938</v>
      </c>
      <c r="AB895" t="s">
        <v>11939</v>
      </c>
      <c r="AC895" t="s">
        <v>74</v>
      </c>
      <c r="AD895" t="s">
        <v>74</v>
      </c>
      <c r="AE895" t="s">
        <v>74</v>
      </c>
      <c r="AF895" t="s">
        <v>74</v>
      </c>
      <c r="AG895">
        <v>80</v>
      </c>
      <c r="AH895">
        <v>34</v>
      </c>
      <c r="AI895">
        <v>37</v>
      </c>
      <c r="AJ895">
        <v>0</v>
      </c>
      <c r="AK895">
        <v>9</v>
      </c>
      <c r="AL895" t="s">
        <v>2631</v>
      </c>
      <c r="AM895" t="s">
        <v>2632</v>
      </c>
      <c r="AN895" t="s">
        <v>2633</v>
      </c>
      <c r="AO895" t="s">
        <v>1421</v>
      </c>
      <c r="AP895" t="s">
        <v>2634</v>
      </c>
      <c r="AQ895" t="s">
        <v>74</v>
      </c>
      <c r="AR895" t="s">
        <v>1422</v>
      </c>
      <c r="AS895" t="s">
        <v>1423</v>
      </c>
      <c r="AT895" t="s">
        <v>11316</v>
      </c>
      <c r="AU895">
        <v>2001</v>
      </c>
      <c r="AV895">
        <v>138</v>
      </c>
      <c r="AW895">
        <v>2</v>
      </c>
      <c r="AX895" t="s">
        <v>74</v>
      </c>
      <c r="AY895" t="s">
        <v>74</v>
      </c>
      <c r="AZ895" t="s">
        <v>74</v>
      </c>
      <c r="BA895" t="s">
        <v>74</v>
      </c>
      <c r="BB895">
        <v>369</v>
      </c>
      <c r="BC895">
        <v>381</v>
      </c>
      <c r="BD895" t="s">
        <v>74</v>
      </c>
      <c r="BE895" t="s">
        <v>11940</v>
      </c>
      <c r="BF895" t="str">
        <f>HYPERLINK("http://dx.doi.org/10.1007/s002270000467","http://dx.doi.org/10.1007/s002270000467")</f>
        <v>http://dx.doi.org/10.1007/s002270000467</v>
      </c>
      <c r="BG895" t="s">
        <v>74</v>
      </c>
      <c r="BH895" t="s">
        <v>74</v>
      </c>
      <c r="BI895">
        <v>13</v>
      </c>
      <c r="BJ895" t="s">
        <v>323</v>
      </c>
      <c r="BK895" t="s">
        <v>88</v>
      </c>
      <c r="BL895" t="s">
        <v>323</v>
      </c>
      <c r="BM895" t="s">
        <v>11920</v>
      </c>
      <c r="BN895" t="s">
        <v>74</v>
      </c>
      <c r="BO895" t="s">
        <v>74</v>
      </c>
      <c r="BP895" t="s">
        <v>74</v>
      </c>
      <c r="BQ895" t="s">
        <v>74</v>
      </c>
      <c r="BR895" t="s">
        <v>91</v>
      </c>
      <c r="BS895" t="s">
        <v>11941</v>
      </c>
      <c r="BT895" t="str">
        <f>HYPERLINK("https%3A%2F%2Fwww.webofscience.com%2Fwos%2Fwoscc%2Ffull-record%2FWOS:000167194100013","View Full Record in Web of Science")</f>
        <v>View Full Record in Web of Science</v>
      </c>
    </row>
    <row r="896" spans="1:72" x14ac:dyDescent="0.15">
      <c r="A896" t="s">
        <v>72</v>
      </c>
      <c r="B896" t="s">
        <v>11942</v>
      </c>
      <c r="C896" t="s">
        <v>74</v>
      </c>
      <c r="D896" t="s">
        <v>74</v>
      </c>
      <c r="E896" t="s">
        <v>74</v>
      </c>
      <c r="F896" t="s">
        <v>11942</v>
      </c>
      <c r="G896" t="s">
        <v>74</v>
      </c>
      <c r="H896" t="s">
        <v>74</v>
      </c>
      <c r="I896" t="s">
        <v>11943</v>
      </c>
      <c r="J896" t="s">
        <v>1447</v>
      </c>
      <c r="K896" t="s">
        <v>74</v>
      </c>
      <c r="L896" t="s">
        <v>74</v>
      </c>
      <c r="M896" t="s">
        <v>77</v>
      </c>
      <c r="N896" t="s">
        <v>120</v>
      </c>
      <c r="O896" t="s">
        <v>74</v>
      </c>
      <c r="P896" t="s">
        <v>74</v>
      </c>
      <c r="Q896" t="s">
        <v>74</v>
      </c>
      <c r="R896" t="s">
        <v>74</v>
      </c>
      <c r="S896" t="s">
        <v>74</v>
      </c>
      <c r="T896" t="s">
        <v>11944</v>
      </c>
      <c r="U896" t="s">
        <v>11945</v>
      </c>
      <c r="V896" t="s">
        <v>11946</v>
      </c>
      <c r="W896" t="s">
        <v>11947</v>
      </c>
      <c r="X896" t="s">
        <v>11948</v>
      </c>
      <c r="Y896" t="s">
        <v>11949</v>
      </c>
      <c r="Z896" t="s">
        <v>11950</v>
      </c>
      <c r="AA896" t="s">
        <v>74</v>
      </c>
      <c r="AB896" t="s">
        <v>74</v>
      </c>
      <c r="AC896" t="s">
        <v>74</v>
      </c>
      <c r="AD896" t="s">
        <v>74</v>
      </c>
      <c r="AE896" t="s">
        <v>74</v>
      </c>
      <c r="AF896" t="s">
        <v>74</v>
      </c>
      <c r="AG896">
        <v>80</v>
      </c>
      <c r="AH896">
        <v>103</v>
      </c>
      <c r="AI896">
        <v>115</v>
      </c>
      <c r="AJ896">
        <v>1</v>
      </c>
      <c r="AK896">
        <v>26</v>
      </c>
      <c r="AL896" t="s">
        <v>349</v>
      </c>
      <c r="AM896" t="s">
        <v>350</v>
      </c>
      <c r="AN896" t="s">
        <v>351</v>
      </c>
      <c r="AO896" t="s">
        <v>1456</v>
      </c>
      <c r="AP896" t="s">
        <v>7358</v>
      </c>
      <c r="AQ896" t="s">
        <v>74</v>
      </c>
      <c r="AR896" t="s">
        <v>1457</v>
      </c>
      <c r="AS896" t="s">
        <v>1458</v>
      </c>
      <c r="AT896" t="s">
        <v>11316</v>
      </c>
      <c r="AU896">
        <v>2001</v>
      </c>
      <c r="AV896">
        <v>41</v>
      </c>
      <c r="AW896" t="s">
        <v>495</v>
      </c>
      <c r="AX896" t="s">
        <v>74</v>
      </c>
      <c r="AY896" t="s">
        <v>74</v>
      </c>
      <c r="AZ896" t="s">
        <v>74</v>
      </c>
      <c r="BA896" t="s">
        <v>74</v>
      </c>
      <c r="BB896">
        <v>25</v>
      </c>
      <c r="BC896">
        <v>43</v>
      </c>
      <c r="BD896" t="s">
        <v>74</v>
      </c>
      <c r="BE896" t="s">
        <v>11951</v>
      </c>
      <c r="BF896" t="str">
        <f>HYPERLINK("http://dx.doi.org/10.1016/S0377-8398(00)00049-9","http://dx.doi.org/10.1016/S0377-8398(00)00049-9")</f>
        <v>http://dx.doi.org/10.1016/S0377-8398(00)00049-9</v>
      </c>
      <c r="BG896" t="s">
        <v>74</v>
      </c>
      <c r="BH896" t="s">
        <v>74</v>
      </c>
      <c r="BI896">
        <v>19</v>
      </c>
      <c r="BJ896" t="s">
        <v>1460</v>
      </c>
      <c r="BK896" t="s">
        <v>88</v>
      </c>
      <c r="BL896" t="s">
        <v>1460</v>
      </c>
      <c r="BM896" t="s">
        <v>11952</v>
      </c>
      <c r="BN896" t="s">
        <v>74</v>
      </c>
      <c r="BO896" t="s">
        <v>74</v>
      </c>
      <c r="BP896" t="s">
        <v>74</v>
      </c>
      <c r="BQ896" t="s">
        <v>74</v>
      </c>
      <c r="BR896" t="s">
        <v>91</v>
      </c>
      <c r="BS896" t="s">
        <v>11953</v>
      </c>
      <c r="BT896" t="str">
        <f>HYPERLINK("https%3A%2F%2Fwww.webofscience.com%2Fwos%2Fwoscc%2Ffull-record%2FWOS:000167034000003","View Full Record in Web of Science")</f>
        <v>View Full Record in Web of Science</v>
      </c>
    </row>
    <row r="897" spans="1:72" x14ac:dyDescent="0.15">
      <c r="A897" t="s">
        <v>72</v>
      </c>
      <c r="B897" t="s">
        <v>11954</v>
      </c>
      <c r="C897" t="s">
        <v>74</v>
      </c>
      <c r="D897" t="s">
        <v>74</v>
      </c>
      <c r="E897" t="s">
        <v>74</v>
      </c>
      <c r="F897" t="s">
        <v>11954</v>
      </c>
      <c r="G897" t="s">
        <v>74</v>
      </c>
      <c r="H897" t="s">
        <v>74</v>
      </c>
      <c r="I897" t="s">
        <v>11955</v>
      </c>
      <c r="J897" t="s">
        <v>1468</v>
      </c>
      <c r="K897" t="s">
        <v>74</v>
      </c>
      <c r="L897" t="s">
        <v>74</v>
      </c>
      <c r="M897" t="s">
        <v>77</v>
      </c>
      <c r="N897" t="s">
        <v>120</v>
      </c>
      <c r="O897" t="s">
        <v>74</v>
      </c>
      <c r="P897" t="s">
        <v>74</v>
      </c>
      <c r="Q897" t="s">
        <v>74</v>
      </c>
      <c r="R897" t="s">
        <v>74</v>
      </c>
      <c r="S897" t="s">
        <v>74</v>
      </c>
      <c r="T897" t="s">
        <v>74</v>
      </c>
      <c r="U897" t="s">
        <v>11956</v>
      </c>
      <c r="V897" t="s">
        <v>11957</v>
      </c>
      <c r="W897" t="s">
        <v>11958</v>
      </c>
      <c r="X897" t="s">
        <v>11959</v>
      </c>
      <c r="Y897" t="s">
        <v>11960</v>
      </c>
      <c r="Z897" t="s">
        <v>74</v>
      </c>
      <c r="AA897" t="s">
        <v>11961</v>
      </c>
      <c r="AB897" t="s">
        <v>11962</v>
      </c>
      <c r="AC897" t="s">
        <v>74</v>
      </c>
      <c r="AD897" t="s">
        <v>74</v>
      </c>
      <c r="AE897" t="s">
        <v>74</v>
      </c>
      <c r="AF897" t="s">
        <v>74</v>
      </c>
      <c r="AG897">
        <v>47</v>
      </c>
      <c r="AH897">
        <v>55</v>
      </c>
      <c r="AI897">
        <v>55</v>
      </c>
      <c r="AJ897">
        <v>0</v>
      </c>
      <c r="AK897">
        <v>10</v>
      </c>
      <c r="AL897" t="s">
        <v>1476</v>
      </c>
      <c r="AM897" t="s">
        <v>1477</v>
      </c>
      <c r="AN897" t="s">
        <v>1478</v>
      </c>
      <c r="AO897" t="s">
        <v>11963</v>
      </c>
      <c r="AP897" t="s">
        <v>74</v>
      </c>
      <c r="AQ897" t="s">
        <v>74</v>
      </c>
      <c r="AR897" t="s">
        <v>1480</v>
      </c>
      <c r="AS897" t="s">
        <v>1481</v>
      </c>
      <c r="AT897" t="s">
        <v>11316</v>
      </c>
      <c r="AU897">
        <v>2001</v>
      </c>
      <c r="AV897">
        <v>36</v>
      </c>
      <c r="AW897">
        <v>2</v>
      </c>
      <c r="AX897" t="s">
        <v>74</v>
      </c>
      <c r="AY897" t="s">
        <v>74</v>
      </c>
      <c r="AZ897" t="s">
        <v>74</v>
      </c>
      <c r="BA897" t="s">
        <v>74</v>
      </c>
      <c r="BB897">
        <v>301</v>
      </c>
      <c r="BC897">
        <v>317</v>
      </c>
      <c r="BD897" t="s">
        <v>74</v>
      </c>
      <c r="BE897" t="s">
        <v>11964</v>
      </c>
      <c r="BF897" t="str">
        <f>HYPERLINK("http://dx.doi.org/10.1111/j.1945-5100.2001.tb01872.x","http://dx.doi.org/10.1111/j.1945-5100.2001.tb01872.x")</f>
        <v>http://dx.doi.org/10.1111/j.1945-5100.2001.tb01872.x</v>
      </c>
      <c r="BG897" t="s">
        <v>74</v>
      </c>
      <c r="BH897" t="s">
        <v>74</v>
      </c>
      <c r="BI897">
        <v>17</v>
      </c>
      <c r="BJ897" t="s">
        <v>388</v>
      </c>
      <c r="BK897" t="s">
        <v>88</v>
      </c>
      <c r="BL897" t="s">
        <v>388</v>
      </c>
      <c r="BM897" t="s">
        <v>11965</v>
      </c>
      <c r="BN897" t="s">
        <v>74</v>
      </c>
      <c r="BO897" t="s">
        <v>74</v>
      </c>
      <c r="BP897" t="s">
        <v>74</v>
      </c>
      <c r="BQ897" t="s">
        <v>74</v>
      </c>
      <c r="BR897" t="s">
        <v>91</v>
      </c>
      <c r="BS897" t="s">
        <v>11966</v>
      </c>
      <c r="BT897" t="str">
        <f>HYPERLINK("https%3A%2F%2Fwww.webofscience.com%2Fwos%2Fwoscc%2Ffull-record%2FWOS:000167652800011","View Full Record in Web of Science")</f>
        <v>View Full Record in Web of Science</v>
      </c>
    </row>
    <row r="898" spans="1:72" x14ac:dyDescent="0.15">
      <c r="A898" t="s">
        <v>72</v>
      </c>
      <c r="B898" t="s">
        <v>11967</v>
      </c>
      <c r="C898" t="s">
        <v>74</v>
      </c>
      <c r="D898" t="s">
        <v>74</v>
      </c>
      <c r="E898" t="s">
        <v>74</v>
      </c>
      <c r="F898" t="s">
        <v>11967</v>
      </c>
      <c r="G898" t="s">
        <v>74</v>
      </c>
      <c r="H898" t="s">
        <v>74</v>
      </c>
      <c r="I898" t="s">
        <v>11968</v>
      </c>
      <c r="J898" t="s">
        <v>1523</v>
      </c>
      <c r="K898" t="s">
        <v>74</v>
      </c>
      <c r="L898" t="s">
        <v>74</v>
      </c>
      <c r="M898" t="s">
        <v>77</v>
      </c>
      <c r="N898" t="s">
        <v>120</v>
      </c>
      <c r="O898" t="s">
        <v>74</v>
      </c>
      <c r="P898" t="s">
        <v>74</v>
      </c>
      <c r="Q898" t="s">
        <v>74</v>
      </c>
      <c r="R898" t="s">
        <v>74</v>
      </c>
      <c r="S898" t="s">
        <v>74</v>
      </c>
      <c r="T898" t="s">
        <v>11969</v>
      </c>
      <c r="U898" t="s">
        <v>11970</v>
      </c>
      <c r="V898" t="s">
        <v>11971</v>
      </c>
      <c r="W898" t="s">
        <v>11972</v>
      </c>
      <c r="X898" t="s">
        <v>11973</v>
      </c>
      <c r="Y898" t="s">
        <v>2050</v>
      </c>
      <c r="Z898" t="s">
        <v>11974</v>
      </c>
      <c r="AA898" t="s">
        <v>11975</v>
      </c>
      <c r="AB898" t="s">
        <v>11976</v>
      </c>
      <c r="AC898" t="s">
        <v>74</v>
      </c>
      <c r="AD898" t="s">
        <v>74</v>
      </c>
      <c r="AE898" t="s">
        <v>74</v>
      </c>
      <c r="AF898" t="s">
        <v>74</v>
      </c>
      <c r="AG898">
        <v>44</v>
      </c>
      <c r="AH898">
        <v>48</v>
      </c>
      <c r="AI898">
        <v>55</v>
      </c>
      <c r="AJ898">
        <v>0</v>
      </c>
      <c r="AK898">
        <v>22</v>
      </c>
      <c r="AL898" t="s">
        <v>1247</v>
      </c>
      <c r="AM898" t="s">
        <v>1248</v>
      </c>
      <c r="AN898" t="s">
        <v>1249</v>
      </c>
      <c r="AO898" t="s">
        <v>1530</v>
      </c>
      <c r="AP898" t="s">
        <v>9648</v>
      </c>
      <c r="AQ898" t="s">
        <v>74</v>
      </c>
      <c r="AR898" t="s">
        <v>1531</v>
      </c>
      <c r="AS898" t="s">
        <v>1532</v>
      </c>
      <c r="AT898" t="s">
        <v>11316</v>
      </c>
      <c r="AU898">
        <v>2001</v>
      </c>
      <c r="AV898">
        <v>10</v>
      </c>
      <c r="AW898">
        <v>2</v>
      </c>
      <c r="AX898" t="s">
        <v>74</v>
      </c>
      <c r="AY898" t="s">
        <v>74</v>
      </c>
      <c r="AZ898" t="s">
        <v>74</v>
      </c>
      <c r="BA898" t="s">
        <v>74</v>
      </c>
      <c r="BB898">
        <v>451</v>
      </c>
      <c r="BC898">
        <v>460</v>
      </c>
      <c r="BD898" t="s">
        <v>74</v>
      </c>
      <c r="BE898" t="s">
        <v>11977</v>
      </c>
      <c r="BF898" t="str">
        <f>HYPERLINK("http://dx.doi.org/10.1046/j.1365-294x.2001.01186.x","http://dx.doi.org/10.1046/j.1365-294x.2001.01186.x")</f>
        <v>http://dx.doi.org/10.1046/j.1365-294x.2001.01186.x</v>
      </c>
      <c r="BG898" t="s">
        <v>74</v>
      </c>
      <c r="BH898" t="s">
        <v>74</v>
      </c>
      <c r="BI898">
        <v>10</v>
      </c>
      <c r="BJ898" t="s">
        <v>1534</v>
      </c>
      <c r="BK898" t="s">
        <v>88</v>
      </c>
      <c r="BL898" t="s">
        <v>1535</v>
      </c>
      <c r="BM898" t="s">
        <v>11978</v>
      </c>
      <c r="BN898">
        <v>11298959</v>
      </c>
      <c r="BO898" t="s">
        <v>74</v>
      </c>
      <c r="BP898" t="s">
        <v>74</v>
      </c>
      <c r="BQ898" t="s">
        <v>74</v>
      </c>
      <c r="BR898" t="s">
        <v>91</v>
      </c>
      <c r="BS898" t="s">
        <v>11979</v>
      </c>
      <c r="BT898" t="str">
        <f>HYPERLINK("https%3A%2F%2Fwww.webofscience.com%2Fwos%2Fwoscc%2Ffull-record%2FWOS:000167779400016","View Full Record in Web of Science")</f>
        <v>View Full Record in Web of Science</v>
      </c>
    </row>
    <row r="899" spans="1:72" x14ac:dyDescent="0.15">
      <c r="A899" t="s">
        <v>72</v>
      </c>
      <c r="B899" t="s">
        <v>11980</v>
      </c>
      <c r="C899" t="s">
        <v>74</v>
      </c>
      <c r="D899" t="s">
        <v>74</v>
      </c>
      <c r="E899" t="s">
        <v>74</v>
      </c>
      <c r="F899" t="s">
        <v>11980</v>
      </c>
      <c r="G899" t="s">
        <v>74</v>
      </c>
      <c r="H899" t="s">
        <v>74</v>
      </c>
      <c r="I899" t="s">
        <v>11981</v>
      </c>
      <c r="J899" t="s">
        <v>695</v>
      </c>
      <c r="K899" t="s">
        <v>74</v>
      </c>
      <c r="L899" t="s">
        <v>74</v>
      </c>
      <c r="M899" t="s">
        <v>77</v>
      </c>
      <c r="N899" t="s">
        <v>120</v>
      </c>
      <c r="O899" t="s">
        <v>74</v>
      </c>
      <c r="P899" t="s">
        <v>74</v>
      </c>
      <c r="Q899" t="s">
        <v>74</v>
      </c>
      <c r="R899" t="s">
        <v>74</v>
      </c>
      <c r="S899" t="s">
        <v>74</v>
      </c>
      <c r="T899" t="s">
        <v>74</v>
      </c>
      <c r="U899" t="s">
        <v>11982</v>
      </c>
      <c r="V899" t="s">
        <v>11983</v>
      </c>
      <c r="W899" t="s">
        <v>11984</v>
      </c>
      <c r="X899" t="s">
        <v>11985</v>
      </c>
      <c r="Y899" t="s">
        <v>11986</v>
      </c>
      <c r="Z899" t="s">
        <v>74</v>
      </c>
      <c r="AA899" t="s">
        <v>11987</v>
      </c>
      <c r="AB899" t="s">
        <v>11988</v>
      </c>
      <c r="AC899" t="s">
        <v>74</v>
      </c>
      <c r="AD899" t="s">
        <v>74</v>
      </c>
      <c r="AE899" t="s">
        <v>74</v>
      </c>
      <c r="AF899" t="s">
        <v>74</v>
      </c>
      <c r="AG899">
        <v>27</v>
      </c>
      <c r="AH899">
        <v>715</v>
      </c>
      <c r="AI899">
        <v>789</v>
      </c>
      <c r="AJ899">
        <v>4</v>
      </c>
      <c r="AK899">
        <v>129</v>
      </c>
      <c r="AL899" t="s">
        <v>700</v>
      </c>
      <c r="AM899" t="s">
        <v>683</v>
      </c>
      <c r="AN899" t="s">
        <v>701</v>
      </c>
      <c r="AO899" t="s">
        <v>702</v>
      </c>
      <c r="AP899" t="s">
        <v>74</v>
      </c>
      <c r="AQ899" t="s">
        <v>74</v>
      </c>
      <c r="AR899" t="s">
        <v>695</v>
      </c>
      <c r="AS899" t="s">
        <v>703</v>
      </c>
      <c r="AT899" t="s">
        <v>11725</v>
      </c>
      <c r="AU899">
        <v>2001</v>
      </c>
      <c r="AV899">
        <v>409</v>
      </c>
      <c r="AW899">
        <v>6820</v>
      </c>
      <c r="AX899" t="s">
        <v>74</v>
      </c>
      <c r="AY899" t="s">
        <v>74</v>
      </c>
      <c r="AZ899" t="s">
        <v>74</v>
      </c>
      <c r="BA899" t="s">
        <v>74</v>
      </c>
      <c r="BB899">
        <v>603</v>
      </c>
      <c r="BC899">
        <v>607</v>
      </c>
      <c r="BD899" t="s">
        <v>74</v>
      </c>
      <c r="BE899" t="s">
        <v>11989</v>
      </c>
      <c r="BF899" t="str">
        <f>HYPERLINK("http://dx.doi.org/10.1038/35054537","http://dx.doi.org/10.1038/35054537")</f>
        <v>http://dx.doi.org/10.1038/35054537</v>
      </c>
      <c r="BG899" t="s">
        <v>74</v>
      </c>
      <c r="BH899" t="s">
        <v>74</v>
      </c>
      <c r="BI899">
        <v>6</v>
      </c>
      <c r="BJ899" t="s">
        <v>575</v>
      </c>
      <c r="BK899" t="s">
        <v>88</v>
      </c>
      <c r="BL899" t="s">
        <v>576</v>
      </c>
      <c r="BM899" t="s">
        <v>11990</v>
      </c>
      <c r="BN899">
        <v>11214316</v>
      </c>
      <c r="BO899" t="s">
        <v>74</v>
      </c>
      <c r="BP899" t="s">
        <v>74</v>
      </c>
      <c r="BQ899" t="s">
        <v>74</v>
      </c>
      <c r="BR899" t="s">
        <v>91</v>
      </c>
      <c r="BS899" t="s">
        <v>11991</v>
      </c>
      <c r="BT899" t="str">
        <f>HYPERLINK("https%3A%2F%2Fwww.webofscience.com%2Fwos%2Fwoscc%2Ffull-record%2FWOS:000166692300040","View Full Record in Web of Science")</f>
        <v>View Full Record in Web of Science</v>
      </c>
    </row>
    <row r="900" spans="1:72" x14ac:dyDescent="0.15">
      <c r="A900" t="s">
        <v>72</v>
      </c>
      <c r="B900" t="s">
        <v>7494</v>
      </c>
      <c r="C900" t="s">
        <v>74</v>
      </c>
      <c r="D900" t="s">
        <v>74</v>
      </c>
      <c r="E900" t="s">
        <v>74</v>
      </c>
      <c r="F900" t="s">
        <v>7494</v>
      </c>
      <c r="G900" t="s">
        <v>74</v>
      </c>
      <c r="H900" t="s">
        <v>74</v>
      </c>
      <c r="I900" t="s">
        <v>11992</v>
      </c>
      <c r="J900" t="s">
        <v>1540</v>
      </c>
      <c r="K900" t="s">
        <v>74</v>
      </c>
      <c r="L900" t="s">
        <v>74</v>
      </c>
      <c r="M900" t="s">
        <v>77</v>
      </c>
      <c r="N900" t="s">
        <v>120</v>
      </c>
      <c r="O900" t="s">
        <v>74</v>
      </c>
      <c r="P900" t="s">
        <v>74</v>
      </c>
      <c r="Q900" t="s">
        <v>74</v>
      </c>
      <c r="R900" t="s">
        <v>74</v>
      </c>
      <c r="S900" t="s">
        <v>74</v>
      </c>
      <c r="T900" t="s">
        <v>11993</v>
      </c>
      <c r="U900" t="s">
        <v>11994</v>
      </c>
      <c r="V900" t="s">
        <v>11995</v>
      </c>
      <c r="W900" t="s">
        <v>7498</v>
      </c>
      <c r="X900" t="s">
        <v>366</v>
      </c>
      <c r="Y900" t="s">
        <v>7499</v>
      </c>
      <c r="Z900" t="s">
        <v>11996</v>
      </c>
      <c r="AA900" t="s">
        <v>74</v>
      </c>
      <c r="AB900" t="s">
        <v>74</v>
      </c>
      <c r="AC900" t="s">
        <v>74</v>
      </c>
      <c r="AD900" t="s">
        <v>74</v>
      </c>
      <c r="AE900" t="s">
        <v>74</v>
      </c>
      <c r="AF900" t="s">
        <v>74</v>
      </c>
      <c r="AG900">
        <v>36</v>
      </c>
      <c r="AH900">
        <v>16</v>
      </c>
      <c r="AI900">
        <v>17</v>
      </c>
      <c r="AJ900">
        <v>0</v>
      </c>
      <c r="AK900">
        <v>11</v>
      </c>
      <c r="AL900" t="s">
        <v>1247</v>
      </c>
      <c r="AM900" t="s">
        <v>1248</v>
      </c>
      <c r="AN900" t="s">
        <v>1249</v>
      </c>
      <c r="AO900" t="s">
        <v>1549</v>
      </c>
      <c r="AP900" t="s">
        <v>1550</v>
      </c>
      <c r="AQ900" t="s">
        <v>74</v>
      </c>
      <c r="AR900" t="s">
        <v>1551</v>
      </c>
      <c r="AS900" t="s">
        <v>1552</v>
      </c>
      <c r="AT900" t="s">
        <v>11316</v>
      </c>
      <c r="AU900">
        <v>2001</v>
      </c>
      <c r="AV900">
        <v>149</v>
      </c>
      <c r="AW900">
        <v>2</v>
      </c>
      <c r="AX900" t="s">
        <v>74</v>
      </c>
      <c r="AY900" t="s">
        <v>74</v>
      </c>
      <c r="AZ900" t="s">
        <v>74</v>
      </c>
      <c r="BA900" t="s">
        <v>74</v>
      </c>
      <c r="BB900">
        <v>291</v>
      </c>
      <c r="BC900">
        <v>299</v>
      </c>
      <c r="BD900" t="s">
        <v>74</v>
      </c>
      <c r="BE900" t="s">
        <v>11997</v>
      </c>
      <c r="BF900" t="str">
        <f>HYPERLINK("http://dx.doi.org/10.1046/j.1469-8137.2001.00025.x","http://dx.doi.org/10.1046/j.1469-8137.2001.00025.x")</f>
        <v>http://dx.doi.org/10.1046/j.1469-8137.2001.00025.x</v>
      </c>
      <c r="BG900" t="s">
        <v>74</v>
      </c>
      <c r="BH900" t="s">
        <v>74</v>
      </c>
      <c r="BI900">
        <v>9</v>
      </c>
      <c r="BJ900" t="s">
        <v>357</v>
      </c>
      <c r="BK900" t="s">
        <v>88</v>
      </c>
      <c r="BL900" t="s">
        <v>357</v>
      </c>
      <c r="BM900" t="s">
        <v>11998</v>
      </c>
      <c r="BN900">
        <v>33874637</v>
      </c>
      <c r="BO900" t="s">
        <v>171</v>
      </c>
      <c r="BP900" t="s">
        <v>74</v>
      </c>
      <c r="BQ900" t="s">
        <v>74</v>
      </c>
      <c r="BR900" t="s">
        <v>91</v>
      </c>
      <c r="BS900" t="s">
        <v>11999</v>
      </c>
      <c r="BT900" t="str">
        <f>HYPERLINK("https%3A%2F%2Fwww.webofscience.com%2Fwos%2Fwoscc%2Ffull-record%2FWOS:000166890800014","View Full Record in Web of Science")</f>
        <v>View Full Record in Web of Science</v>
      </c>
    </row>
    <row r="901" spans="1:72" x14ac:dyDescent="0.15">
      <c r="A901" t="s">
        <v>72</v>
      </c>
      <c r="B901" t="s">
        <v>7362</v>
      </c>
      <c r="C901" t="s">
        <v>74</v>
      </c>
      <c r="D901" t="s">
        <v>74</v>
      </c>
      <c r="E901" t="s">
        <v>74</v>
      </c>
      <c r="F901" t="s">
        <v>7362</v>
      </c>
      <c r="G901" t="s">
        <v>74</v>
      </c>
      <c r="H901" t="s">
        <v>74</v>
      </c>
      <c r="I901" t="s">
        <v>12000</v>
      </c>
      <c r="J901" t="s">
        <v>141</v>
      </c>
      <c r="K901" t="s">
        <v>74</v>
      </c>
      <c r="L901" t="s">
        <v>74</v>
      </c>
      <c r="M901" t="s">
        <v>77</v>
      </c>
      <c r="N901" t="s">
        <v>120</v>
      </c>
      <c r="O901" t="s">
        <v>74</v>
      </c>
      <c r="P901" t="s">
        <v>74</v>
      </c>
      <c r="Q901" t="s">
        <v>74</v>
      </c>
      <c r="R901" t="s">
        <v>74</v>
      </c>
      <c r="S901" t="s">
        <v>74</v>
      </c>
      <c r="T901" t="s">
        <v>74</v>
      </c>
      <c r="U901" t="s">
        <v>7364</v>
      </c>
      <c r="V901" t="s">
        <v>12001</v>
      </c>
      <c r="W901" t="s">
        <v>12002</v>
      </c>
      <c r="X901" t="s">
        <v>12003</v>
      </c>
      <c r="Y901" t="s">
        <v>7367</v>
      </c>
      <c r="Z901" t="s">
        <v>7368</v>
      </c>
      <c r="AA901" t="s">
        <v>7369</v>
      </c>
      <c r="AB901" t="s">
        <v>7370</v>
      </c>
      <c r="AC901" t="s">
        <v>74</v>
      </c>
      <c r="AD901" t="s">
        <v>74</v>
      </c>
      <c r="AE901" t="s">
        <v>74</v>
      </c>
      <c r="AF901" t="s">
        <v>74</v>
      </c>
      <c r="AG901">
        <v>91</v>
      </c>
      <c r="AH901">
        <v>119</v>
      </c>
      <c r="AI901">
        <v>134</v>
      </c>
      <c r="AJ901">
        <v>0</v>
      </c>
      <c r="AK901">
        <v>23</v>
      </c>
      <c r="AL901" t="s">
        <v>149</v>
      </c>
      <c r="AM901" t="s">
        <v>150</v>
      </c>
      <c r="AN901" t="s">
        <v>151</v>
      </c>
      <c r="AO901" t="s">
        <v>152</v>
      </c>
      <c r="AP901" t="s">
        <v>153</v>
      </c>
      <c r="AQ901" t="s">
        <v>74</v>
      </c>
      <c r="AR901" t="s">
        <v>141</v>
      </c>
      <c r="AS901" t="s">
        <v>154</v>
      </c>
      <c r="AT901" t="s">
        <v>11316</v>
      </c>
      <c r="AU901">
        <v>2001</v>
      </c>
      <c r="AV901">
        <v>16</v>
      </c>
      <c r="AW901">
        <v>1</v>
      </c>
      <c r="AX901" t="s">
        <v>74</v>
      </c>
      <c r="AY901" t="s">
        <v>74</v>
      </c>
      <c r="AZ901" t="s">
        <v>74</v>
      </c>
      <c r="BA901" t="s">
        <v>74</v>
      </c>
      <c r="BB901">
        <v>112</v>
      </c>
      <c r="BC901">
        <v>131</v>
      </c>
      <c r="BD901" t="s">
        <v>74</v>
      </c>
      <c r="BE901" t="s">
        <v>12004</v>
      </c>
      <c r="BF901" t="str">
        <f>HYPERLINK("http://dx.doi.org/10.1029/2000PA000529","http://dx.doi.org/10.1029/2000PA000529")</f>
        <v>http://dx.doi.org/10.1029/2000PA000529</v>
      </c>
      <c r="BG901" t="s">
        <v>74</v>
      </c>
      <c r="BH901" t="s">
        <v>74</v>
      </c>
      <c r="BI901">
        <v>20</v>
      </c>
      <c r="BJ901" t="s">
        <v>156</v>
      </c>
      <c r="BK901" t="s">
        <v>88</v>
      </c>
      <c r="BL901" t="s">
        <v>157</v>
      </c>
      <c r="BM901" t="s">
        <v>12005</v>
      </c>
      <c r="BN901" t="s">
        <v>74</v>
      </c>
      <c r="BO901" t="s">
        <v>171</v>
      </c>
      <c r="BP901" t="s">
        <v>74</v>
      </c>
      <c r="BQ901" t="s">
        <v>74</v>
      </c>
      <c r="BR901" t="s">
        <v>91</v>
      </c>
      <c r="BS901" t="s">
        <v>12006</v>
      </c>
      <c r="BT901" t="str">
        <f>HYPERLINK("https%3A%2F%2Fwww.webofscience.com%2Fwos%2Fwoscc%2Ffull-record%2FWOS:000166869900010","View Full Record in Web of Science")</f>
        <v>View Full Record in Web of Science</v>
      </c>
    </row>
    <row r="902" spans="1:72" x14ac:dyDescent="0.15">
      <c r="A902" t="s">
        <v>72</v>
      </c>
      <c r="B902" t="s">
        <v>12007</v>
      </c>
      <c r="C902" t="s">
        <v>74</v>
      </c>
      <c r="D902" t="s">
        <v>74</v>
      </c>
      <c r="E902" t="s">
        <v>74</v>
      </c>
      <c r="F902" t="s">
        <v>12007</v>
      </c>
      <c r="G902" t="s">
        <v>74</v>
      </c>
      <c r="H902" t="s">
        <v>74</v>
      </c>
      <c r="I902" t="s">
        <v>12008</v>
      </c>
      <c r="J902" t="s">
        <v>12009</v>
      </c>
      <c r="K902" t="s">
        <v>74</v>
      </c>
      <c r="L902" t="s">
        <v>74</v>
      </c>
      <c r="M902" t="s">
        <v>77</v>
      </c>
      <c r="N902" t="s">
        <v>120</v>
      </c>
      <c r="O902" t="s">
        <v>74</v>
      </c>
      <c r="P902" t="s">
        <v>74</v>
      </c>
      <c r="Q902" t="s">
        <v>74</v>
      </c>
      <c r="R902" t="s">
        <v>74</v>
      </c>
      <c r="S902" t="s">
        <v>74</v>
      </c>
      <c r="T902" t="s">
        <v>74</v>
      </c>
      <c r="U902" t="s">
        <v>12010</v>
      </c>
      <c r="V902" t="s">
        <v>12011</v>
      </c>
      <c r="W902" t="s">
        <v>12012</v>
      </c>
      <c r="X902" t="s">
        <v>12013</v>
      </c>
      <c r="Y902" t="s">
        <v>12014</v>
      </c>
      <c r="Z902" t="s">
        <v>12015</v>
      </c>
      <c r="AA902" t="s">
        <v>3888</v>
      </c>
      <c r="AB902" t="s">
        <v>3889</v>
      </c>
      <c r="AC902" t="s">
        <v>74</v>
      </c>
      <c r="AD902" t="s">
        <v>74</v>
      </c>
      <c r="AE902" t="s">
        <v>74</v>
      </c>
      <c r="AF902" t="s">
        <v>74</v>
      </c>
      <c r="AG902">
        <v>57</v>
      </c>
      <c r="AH902">
        <v>149</v>
      </c>
      <c r="AI902">
        <v>172</v>
      </c>
      <c r="AJ902">
        <v>0</v>
      </c>
      <c r="AK902">
        <v>25</v>
      </c>
      <c r="AL902" t="s">
        <v>12016</v>
      </c>
      <c r="AM902" t="s">
        <v>12017</v>
      </c>
      <c r="AN902" t="s">
        <v>12018</v>
      </c>
      <c r="AO902" t="s">
        <v>12019</v>
      </c>
      <c r="AP902" t="s">
        <v>74</v>
      </c>
      <c r="AQ902" t="s">
        <v>74</v>
      </c>
      <c r="AR902" t="s">
        <v>12020</v>
      </c>
      <c r="AS902" t="s">
        <v>12021</v>
      </c>
      <c r="AT902" t="s">
        <v>11316</v>
      </c>
      <c r="AU902">
        <v>2001</v>
      </c>
      <c r="AV902">
        <v>125</v>
      </c>
      <c r="AW902">
        <v>2</v>
      </c>
      <c r="AX902" t="s">
        <v>74</v>
      </c>
      <c r="AY902" t="s">
        <v>74</v>
      </c>
      <c r="AZ902" t="s">
        <v>74</v>
      </c>
      <c r="BA902" t="s">
        <v>74</v>
      </c>
      <c r="BB902">
        <v>738</v>
      </c>
      <c r="BC902">
        <v>751</v>
      </c>
      <c r="BD902" t="s">
        <v>74</v>
      </c>
      <c r="BE902" t="s">
        <v>12022</v>
      </c>
      <c r="BF902" t="str">
        <f>HYPERLINK("http://dx.doi.org/10.1104/pp.125.2.738","http://dx.doi.org/10.1104/pp.125.2.738")</f>
        <v>http://dx.doi.org/10.1104/pp.125.2.738</v>
      </c>
      <c r="BG902" t="s">
        <v>74</v>
      </c>
      <c r="BH902" t="s">
        <v>74</v>
      </c>
      <c r="BI902">
        <v>14</v>
      </c>
      <c r="BJ902" t="s">
        <v>357</v>
      </c>
      <c r="BK902" t="s">
        <v>88</v>
      </c>
      <c r="BL902" t="s">
        <v>357</v>
      </c>
      <c r="BM902" t="s">
        <v>12023</v>
      </c>
      <c r="BN902">
        <v>11161031</v>
      </c>
      <c r="BO902" t="s">
        <v>563</v>
      </c>
      <c r="BP902" t="s">
        <v>74</v>
      </c>
      <c r="BQ902" t="s">
        <v>74</v>
      </c>
      <c r="BR902" t="s">
        <v>91</v>
      </c>
      <c r="BS902" t="s">
        <v>12024</v>
      </c>
      <c r="BT902" t="str">
        <f>HYPERLINK("https%3A%2F%2Fwww.webofscience.com%2Fwos%2Fwoscc%2Ffull-record%2FWOS:000167544700026","View Full Record in Web of Science")</f>
        <v>View Full Record in Web of Science</v>
      </c>
    </row>
    <row r="903" spans="1:72" x14ac:dyDescent="0.15">
      <c r="A903" t="s">
        <v>72</v>
      </c>
      <c r="B903" t="s">
        <v>12025</v>
      </c>
      <c r="C903" t="s">
        <v>74</v>
      </c>
      <c r="D903" t="s">
        <v>74</v>
      </c>
      <c r="E903" t="s">
        <v>74</v>
      </c>
      <c r="F903" t="s">
        <v>12025</v>
      </c>
      <c r="G903" t="s">
        <v>74</v>
      </c>
      <c r="H903" t="s">
        <v>74</v>
      </c>
      <c r="I903" t="s">
        <v>12026</v>
      </c>
      <c r="J903" t="s">
        <v>194</v>
      </c>
      <c r="K903" t="s">
        <v>74</v>
      </c>
      <c r="L903" t="s">
        <v>74</v>
      </c>
      <c r="M903" t="s">
        <v>77</v>
      </c>
      <c r="N903" t="s">
        <v>120</v>
      </c>
      <c r="O903" t="s">
        <v>74</v>
      </c>
      <c r="P903" t="s">
        <v>74</v>
      </c>
      <c r="Q903" t="s">
        <v>74</v>
      </c>
      <c r="R903" t="s">
        <v>74</v>
      </c>
      <c r="S903" t="s">
        <v>74</v>
      </c>
      <c r="T903" t="s">
        <v>74</v>
      </c>
      <c r="U903" t="s">
        <v>12027</v>
      </c>
      <c r="V903" t="s">
        <v>12028</v>
      </c>
      <c r="W903" t="s">
        <v>2656</v>
      </c>
      <c r="X903" t="s">
        <v>2657</v>
      </c>
      <c r="Y903" t="s">
        <v>4201</v>
      </c>
      <c r="Z903" t="s">
        <v>74</v>
      </c>
      <c r="AA903" t="s">
        <v>12029</v>
      </c>
      <c r="AB903" t="s">
        <v>12030</v>
      </c>
      <c r="AC903" t="s">
        <v>74</v>
      </c>
      <c r="AD903" t="s">
        <v>74</v>
      </c>
      <c r="AE903" t="s">
        <v>74</v>
      </c>
      <c r="AF903" t="s">
        <v>74</v>
      </c>
      <c r="AG903">
        <v>55</v>
      </c>
      <c r="AH903">
        <v>34</v>
      </c>
      <c r="AI903">
        <v>38</v>
      </c>
      <c r="AJ903">
        <v>0</v>
      </c>
      <c r="AK903">
        <v>12</v>
      </c>
      <c r="AL903" t="s">
        <v>203</v>
      </c>
      <c r="AM903" t="s">
        <v>204</v>
      </c>
      <c r="AN903" t="s">
        <v>205</v>
      </c>
      <c r="AO903" t="s">
        <v>206</v>
      </c>
      <c r="AP903" t="s">
        <v>74</v>
      </c>
      <c r="AQ903" t="s">
        <v>74</v>
      </c>
      <c r="AR903" t="s">
        <v>207</v>
      </c>
      <c r="AS903" t="s">
        <v>208</v>
      </c>
      <c r="AT903" t="s">
        <v>11316</v>
      </c>
      <c r="AU903">
        <v>2001</v>
      </c>
      <c r="AV903">
        <v>24</v>
      </c>
      <c r="AW903">
        <v>2</v>
      </c>
      <c r="AX903" t="s">
        <v>74</v>
      </c>
      <c r="AY903" t="s">
        <v>74</v>
      </c>
      <c r="AZ903" t="s">
        <v>74</v>
      </c>
      <c r="BA903" t="s">
        <v>74</v>
      </c>
      <c r="BB903">
        <v>73</v>
      </c>
      <c r="BC903">
        <v>82</v>
      </c>
      <c r="BD903" t="s">
        <v>74</v>
      </c>
      <c r="BE903" t="s">
        <v>12031</v>
      </c>
      <c r="BF903" t="str">
        <f>HYPERLINK("http://dx.doi.org/10.1007/s003000000172","http://dx.doi.org/10.1007/s003000000172")</f>
        <v>http://dx.doi.org/10.1007/s003000000172</v>
      </c>
      <c r="BG903" t="s">
        <v>74</v>
      </c>
      <c r="BH903" t="s">
        <v>74</v>
      </c>
      <c r="BI903">
        <v>10</v>
      </c>
      <c r="BJ903" t="s">
        <v>209</v>
      </c>
      <c r="BK903" t="s">
        <v>88</v>
      </c>
      <c r="BL903" t="s">
        <v>210</v>
      </c>
      <c r="BM903" t="s">
        <v>12032</v>
      </c>
      <c r="BN903" t="s">
        <v>74</v>
      </c>
      <c r="BO903" t="s">
        <v>74</v>
      </c>
      <c r="BP903" t="s">
        <v>74</v>
      </c>
      <c r="BQ903" t="s">
        <v>74</v>
      </c>
      <c r="BR903" t="s">
        <v>91</v>
      </c>
      <c r="BS903" t="s">
        <v>12033</v>
      </c>
      <c r="BT903" t="str">
        <f>HYPERLINK("https%3A%2F%2Fwww.webofscience.com%2Fwos%2Fwoscc%2Ffull-record%2FWOS:000166579800001","View Full Record in Web of Science")</f>
        <v>View Full Record in Web of Science</v>
      </c>
    </row>
    <row r="904" spans="1:72" x14ac:dyDescent="0.15">
      <c r="A904" t="s">
        <v>72</v>
      </c>
      <c r="B904" t="s">
        <v>12034</v>
      </c>
      <c r="C904" t="s">
        <v>74</v>
      </c>
      <c r="D904" t="s">
        <v>74</v>
      </c>
      <c r="E904" t="s">
        <v>74</v>
      </c>
      <c r="F904" t="s">
        <v>12034</v>
      </c>
      <c r="G904" t="s">
        <v>74</v>
      </c>
      <c r="H904" t="s">
        <v>74</v>
      </c>
      <c r="I904" t="s">
        <v>12035</v>
      </c>
      <c r="J904" t="s">
        <v>194</v>
      </c>
      <c r="K904" t="s">
        <v>74</v>
      </c>
      <c r="L904" t="s">
        <v>74</v>
      </c>
      <c r="M904" t="s">
        <v>77</v>
      </c>
      <c r="N904" t="s">
        <v>120</v>
      </c>
      <c r="O904" t="s">
        <v>74</v>
      </c>
      <c r="P904" t="s">
        <v>74</v>
      </c>
      <c r="Q904" t="s">
        <v>74</v>
      </c>
      <c r="R904" t="s">
        <v>74</v>
      </c>
      <c r="S904" t="s">
        <v>74</v>
      </c>
      <c r="T904" t="s">
        <v>74</v>
      </c>
      <c r="U904" t="s">
        <v>12036</v>
      </c>
      <c r="V904" t="s">
        <v>12037</v>
      </c>
      <c r="W904" t="s">
        <v>6875</v>
      </c>
      <c r="X904" t="s">
        <v>419</v>
      </c>
      <c r="Y904" t="s">
        <v>12038</v>
      </c>
      <c r="Z904" t="s">
        <v>74</v>
      </c>
      <c r="AA904" t="s">
        <v>422</v>
      </c>
      <c r="AB904" t="s">
        <v>74</v>
      </c>
      <c r="AC904" t="s">
        <v>74</v>
      </c>
      <c r="AD904" t="s">
        <v>74</v>
      </c>
      <c r="AE904" t="s">
        <v>74</v>
      </c>
      <c r="AF904" t="s">
        <v>74</v>
      </c>
      <c r="AG904">
        <v>20</v>
      </c>
      <c r="AH904">
        <v>15</v>
      </c>
      <c r="AI904">
        <v>15</v>
      </c>
      <c r="AJ904">
        <v>0</v>
      </c>
      <c r="AK904">
        <v>4</v>
      </c>
      <c r="AL904" t="s">
        <v>203</v>
      </c>
      <c r="AM904" t="s">
        <v>204</v>
      </c>
      <c r="AN904" t="s">
        <v>205</v>
      </c>
      <c r="AO904" t="s">
        <v>206</v>
      </c>
      <c r="AP904" t="s">
        <v>74</v>
      </c>
      <c r="AQ904" t="s">
        <v>74</v>
      </c>
      <c r="AR904" t="s">
        <v>207</v>
      </c>
      <c r="AS904" t="s">
        <v>208</v>
      </c>
      <c r="AT904" t="s">
        <v>11316</v>
      </c>
      <c r="AU904">
        <v>2001</v>
      </c>
      <c r="AV904">
        <v>24</v>
      </c>
      <c r="AW904">
        <v>2</v>
      </c>
      <c r="AX904" t="s">
        <v>74</v>
      </c>
      <c r="AY904" t="s">
        <v>74</v>
      </c>
      <c r="AZ904" t="s">
        <v>74</v>
      </c>
      <c r="BA904" t="s">
        <v>74</v>
      </c>
      <c r="BB904">
        <v>97</v>
      </c>
      <c r="BC904">
        <v>100</v>
      </c>
      <c r="BD904" t="s">
        <v>74</v>
      </c>
      <c r="BE904" t="s">
        <v>12039</v>
      </c>
      <c r="BF904" t="str">
        <f>HYPERLINK("http://dx.doi.org/10.1007/s003000000178","http://dx.doi.org/10.1007/s003000000178")</f>
        <v>http://dx.doi.org/10.1007/s003000000178</v>
      </c>
      <c r="BG904" t="s">
        <v>74</v>
      </c>
      <c r="BH904" t="s">
        <v>74</v>
      </c>
      <c r="BI904">
        <v>4</v>
      </c>
      <c r="BJ904" t="s">
        <v>209</v>
      </c>
      <c r="BK904" t="s">
        <v>88</v>
      </c>
      <c r="BL904" t="s">
        <v>210</v>
      </c>
      <c r="BM904" t="s">
        <v>12032</v>
      </c>
      <c r="BN904" t="s">
        <v>74</v>
      </c>
      <c r="BO904" t="s">
        <v>74</v>
      </c>
      <c r="BP904" t="s">
        <v>74</v>
      </c>
      <c r="BQ904" t="s">
        <v>74</v>
      </c>
      <c r="BR904" t="s">
        <v>91</v>
      </c>
      <c r="BS904" t="s">
        <v>12040</v>
      </c>
      <c r="BT904" t="str">
        <f>HYPERLINK("https%3A%2F%2Fwww.webofscience.com%2Fwos%2Fwoscc%2Ffull-record%2FWOS:000166579800004","View Full Record in Web of Science")</f>
        <v>View Full Record in Web of Science</v>
      </c>
    </row>
    <row r="905" spans="1:72" x14ac:dyDescent="0.15">
      <c r="A905" t="s">
        <v>72</v>
      </c>
      <c r="B905" t="s">
        <v>12041</v>
      </c>
      <c r="C905" t="s">
        <v>74</v>
      </c>
      <c r="D905" t="s">
        <v>74</v>
      </c>
      <c r="E905" t="s">
        <v>74</v>
      </c>
      <c r="F905" t="s">
        <v>12041</v>
      </c>
      <c r="G905" t="s">
        <v>74</v>
      </c>
      <c r="H905" t="s">
        <v>74</v>
      </c>
      <c r="I905" t="s">
        <v>12042</v>
      </c>
      <c r="J905" t="s">
        <v>194</v>
      </c>
      <c r="K905" t="s">
        <v>74</v>
      </c>
      <c r="L905" t="s">
        <v>74</v>
      </c>
      <c r="M905" t="s">
        <v>77</v>
      </c>
      <c r="N905" t="s">
        <v>120</v>
      </c>
      <c r="O905" t="s">
        <v>74</v>
      </c>
      <c r="P905" t="s">
        <v>74</v>
      </c>
      <c r="Q905" t="s">
        <v>74</v>
      </c>
      <c r="R905" t="s">
        <v>74</v>
      </c>
      <c r="S905" t="s">
        <v>74</v>
      </c>
      <c r="T905" t="s">
        <v>74</v>
      </c>
      <c r="U905" t="s">
        <v>74</v>
      </c>
      <c r="V905" t="s">
        <v>12043</v>
      </c>
      <c r="W905" t="s">
        <v>12044</v>
      </c>
      <c r="X905" t="s">
        <v>12045</v>
      </c>
      <c r="Y905" t="s">
        <v>12046</v>
      </c>
      <c r="Z905" t="s">
        <v>74</v>
      </c>
      <c r="AA905" t="s">
        <v>74</v>
      </c>
      <c r="AB905" t="s">
        <v>12047</v>
      </c>
      <c r="AC905" t="s">
        <v>74</v>
      </c>
      <c r="AD905" t="s">
        <v>74</v>
      </c>
      <c r="AE905" t="s">
        <v>74</v>
      </c>
      <c r="AF905" t="s">
        <v>74</v>
      </c>
      <c r="AG905">
        <v>8</v>
      </c>
      <c r="AH905">
        <v>5</v>
      </c>
      <c r="AI905">
        <v>6</v>
      </c>
      <c r="AJ905">
        <v>0</v>
      </c>
      <c r="AK905">
        <v>0</v>
      </c>
      <c r="AL905" t="s">
        <v>203</v>
      </c>
      <c r="AM905" t="s">
        <v>204</v>
      </c>
      <c r="AN905" t="s">
        <v>205</v>
      </c>
      <c r="AO905" t="s">
        <v>206</v>
      </c>
      <c r="AP905" t="s">
        <v>74</v>
      </c>
      <c r="AQ905" t="s">
        <v>74</v>
      </c>
      <c r="AR905" t="s">
        <v>207</v>
      </c>
      <c r="AS905" t="s">
        <v>208</v>
      </c>
      <c r="AT905" t="s">
        <v>11316</v>
      </c>
      <c r="AU905">
        <v>2001</v>
      </c>
      <c r="AV905">
        <v>24</v>
      </c>
      <c r="AW905">
        <v>2</v>
      </c>
      <c r="AX905" t="s">
        <v>74</v>
      </c>
      <c r="AY905" t="s">
        <v>74</v>
      </c>
      <c r="AZ905" t="s">
        <v>74</v>
      </c>
      <c r="BA905" t="s">
        <v>74</v>
      </c>
      <c r="BB905">
        <v>101</v>
      </c>
      <c r="BC905">
        <v>104</v>
      </c>
      <c r="BD905" t="s">
        <v>74</v>
      </c>
      <c r="BE905" t="s">
        <v>12048</v>
      </c>
      <c r="BF905" t="str">
        <f>HYPERLINK("http://dx.doi.org/10.1007/s003000000179","http://dx.doi.org/10.1007/s003000000179")</f>
        <v>http://dx.doi.org/10.1007/s003000000179</v>
      </c>
      <c r="BG905" t="s">
        <v>74</v>
      </c>
      <c r="BH905" t="s">
        <v>74</v>
      </c>
      <c r="BI905">
        <v>4</v>
      </c>
      <c r="BJ905" t="s">
        <v>209</v>
      </c>
      <c r="BK905" t="s">
        <v>88</v>
      </c>
      <c r="BL905" t="s">
        <v>210</v>
      </c>
      <c r="BM905" t="s">
        <v>12032</v>
      </c>
      <c r="BN905" t="s">
        <v>74</v>
      </c>
      <c r="BO905" t="s">
        <v>1685</v>
      </c>
      <c r="BP905" t="s">
        <v>74</v>
      </c>
      <c r="BQ905" t="s">
        <v>74</v>
      </c>
      <c r="BR905" t="s">
        <v>91</v>
      </c>
      <c r="BS905" t="s">
        <v>12049</v>
      </c>
      <c r="BT905" t="str">
        <f>HYPERLINK("https%3A%2F%2Fwww.webofscience.com%2Fwos%2Fwoscc%2Ffull-record%2FWOS:000166579800005","View Full Record in Web of Science")</f>
        <v>View Full Record in Web of Science</v>
      </c>
    </row>
    <row r="906" spans="1:72" x14ac:dyDescent="0.15">
      <c r="A906" t="s">
        <v>72</v>
      </c>
      <c r="B906" t="s">
        <v>12050</v>
      </c>
      <c r="C906" t="s">
        <v>74</v>
      </c>
      <c r="D906" t="s">
        <v>74</v>
      </c>
      <c r="E906" t="s">
        <v>74</v>
      </c>
      <c r="F906" t="s">
        <v>12050</v>
      </c>
      <c r="G906" t="s">
        <v>74</v>
      </c>
      <c r="H906" t="s">
        <v>74</v>
      </c>
      <c r="I906" t="s">
        <v>12051</v>
      </c>
      <c r="J906" t="s">
        <v>194</v>
      </c>
      <c r="K906" t="s">
        <v>74</v>
      </c>
      <c r="L906" t="s">
        <v>74</v>
      </c>
      <c r="M906" t="s">
        <v>77</v>
      </c>
      <c r="N906" t="s">
        <v>120</v>
      </c>
      <c r="O906" t="s">
        <v>74</v>
      </c>
      <c r="P906" t="s">
        <v>74</v>
      </c>
      <c r="Q906" t="s">
        <v>74</v>
      </c>
      <c r="R906" t="s">
        <v>74</v>
      </c>
      <c r="S906" t="s">
        <v>74</v>
      </c>
      <c r="T906" t="s">
        <v>74</v>
      </c>
      <c r="U906" t="s">
        <v>12052</v>
      </c>
      <c r="V906" t="s">
        <v>12053</v>
      </c>
      <c r="W906" t="s">
        <v>12054</v>
      </c>
      <c r="X906" t="s">
        <v>12055</v>
      </c>
      <c r="Y906" t="s">
        <v>12056</v>
      </c>
      <c r="Z906" t="s">
        <v>74</v>
      </c>
      <c r="AA906" t="s">
        <v>335</v>
      </c>
      <c r="AB906" t="s">
        <v>336</v>
      </c>
      <c r="AC906" t="s">
        <v>74</v>
      </c>
      <c r="AD906" t="s">
        <v>74</v>
      </c>
      <c r="AE906" t="s">
        <v>74</v>
      </c>
      <c r="AF906" t="s">
        <v>74</v>
      </c>
      <c r="AG906">
        <v>26</v>
      </c>
      <c r="AH906">
        <v>12</v>
      </c>
      <c r="AI906">
        <v>15</v>
      </c>
      <c r="AJ906">
        <v>0</v>
      </c>
      <c r="AK906">
        <v>5</v>
      </c>
      <c r="AL906" t="s">
        <v>203</v>
      </c>
      <c r="AM906" t="s">
        <v>204</v>
      </c>
      <c r="AN906" t="s">
        <v>205</v>
      </c>
      <c r="AO906" t="s">
        <v>206</v>
      </c>
      <c r="AP906" t="s">
        <v>74</v>
      </c>
      <c r="AQ906" t="s">
        <v>74</v>
      </c>
      <c r="AR906" t="s">
        <v>207</v>
      </c>
      <c r="AS906" t="s">
        <v>208</v>
      </c>
      <c r="AT906" t="s">
        <v>11316</v>
      </c>
      <c r="AU906">
        <v>2001</v>
      </c>
      <c r="AV906">
        <v>24</v>
      </c>
      <c r="AW906">
        <v>2</v>
      </c>
      <c r="AX906" t="s">
        <v>74</v>
      </c>
      <c r="AY906" t="s">
        <v>74</v>
      </c>
      <c r="AZ906" t="s">
        <v>74</v>
      </c>
      <c r="BA906" t="s">
        <v>74</v>
      </c>
      <c r="BB906">
        <v>122</v>
      </c>
      <c r="BC906">
        <v>126</v>
      </c>
      <c r="BD906" t="s">
        <v>74</v>
      </c>
      <c r="BE906" t="s">
        <v>12057</v>
      </c>
      <c r="BF906" t="str">
        <f>HYPERLINK("http://dx.doi.org/10.1007/s003000000176","http://dx.doi.org/10.1007/s003000000176")</f>
        <v>http://dx.doi.org/10.1007/s003000000176</v>
      </c>
      <c r="BG906" t="s">
        <v>74</v>
      </c>
      <c r="BH906" t="s">
        <v>74</v>
      </c>
      <c r="BI906">
        <v>5</v>
      </c>
      <c r="BJ906" t="s">
        <v>209</v>
      </c>
      <c r="BK906" t="s">
        <v>88</v>
      </c>
      <c r="BL906" t="s">
        <v>210</v>
      </c>
      <c r="BM906" t="s">
        <v>12032</v>
      </c>
      <c r="BN906" t="s">
        <v>74</v>
      </c>
      <c r="BO906" t="s">
        <v>74</v>
      </c>
      <c r="BP906" t="s">
        <v>74</v>
      </c>
      <c r="BQ906" t="s">
        <v>74</v>
      </c>
      <c r="BR906" t="s">
        <v>91</v>
      </c>
      <c r="BS906" t="s">
        <v>12058</v>
      </c>
      <c r="BT906" t="str">
        <f>HYPERLINK("https%3A%2F%2Fwww.webofscience.com%2Fwos%2Fwoscc%2Ffull-record%2FWOS:000166579800008","View Full Record in Web of Science")</f>
        <v>View Full Record in Web of Science</v>
      </c>
    </row>
    <row r="907" spans="1:72" x14ac:dyDescent="0.15">
      <c r="A907" t="s">
        <v>72</v>
      </c>
      <c r="B907" t="s">
        <v>12059</v>
      </c>
      <c r="C907" t="s">
        <v>74</v>
      </c>
      <c r="D907" t="s">
        <v>74</v>
      </c>
      <c r="E907" t="s">
        <v>74</v>
      </c>
      <c r="F907" t="s">
        <v>12059</v>
      </c>
      <c r="G907" t="s">
        <v>74</v>
      </c>
      <c r="H907" t="s">
        <v>74</v>
      </c>
      <c r="I907" t="s">
        <v>12060</v>
      </c>
      <c r="J907" t="s">
        <v>194</v>
      </c>
      <c r="K907" t="s">
        <v>74</v>
      </c>
      <c r="L907" t="s">
        <v>74</v>
      </c>
      <c r="M907" t="s">
        <v>77</v>
      </c>
      <c r="N907" t="s">
        <v>120</v>
      </c>
      <c r="O907" t="s">
        <v>74</v>
      </c>
      <c r="P907" t="s">
        <v>74</v>
      </c>
      <c r="Q907" t="s">
        <v>74</v>
      </c>
      <c r="R907" t="s">
        <v>74</v>
      </c>
      <c r="S907" t="s">
        <v>74</v>
      </c>
      <c r="T907" t="s">
        <v>74</v>
      </c>
      <c r="U907" t="s">
        <v>12061</v>
      </c>
      <c r="V907" t="s">
        <v>12062</v>
      </c>
      <c r="W907" t="s">
        <v>7523</v>
      </c>
      <c r="X907" t="s">
        <v>7524</v>
      </c>
      <c r="Y907" t="s">
        <v>12063</v>
      </c>
      <c r="Z907" t="s">
        <v>74</v>
      </c>
      <c r="AA907" t="s">
        <v>74</v>
      </c>
      <c r="AB907" t="s">
        <v>74</v>
      </c>
      <c r="AC907" t="s">
        <v>74</v>
      </c>
      <c r="AD907" t="s">
        <v>74</v>
      </c>
      <c r="AE907" t="s">
        <v>74</v>
      </c>
      <c r="AF907" t="s">
        <v>74</v>
      </c>
      <c r="AG907">
        <v>59</v>
      </c>
      <c r="AH907">
        <v>15</v>
      </c>
      <c r="AI907">
        <v>16</v>
      </c>
      <c r="AJ907">
        <v>0</v>
      </c>
      <c r="AK907">
        <v>3</v>
      </c>
      <c r="AL907" t="s">
        <v>203</v>
      </c>
      <c r="AM907" t="s">
        <v>204</v>
      </c>
      <c r="AN907" t="s">
        <v>205</v>
      </c>
      <c r="AO907" t="s">
        <v>206</v>
      </c>
      <c r="AP907" t="s">
        <v>74</v>
      </c>
      <c r="AQ907" t="s">
        <v>74</v>
      </c>
      <c r="AR907" t="s">
        <v>207</v>
      </c>
      <c r="AS907" t="s">
        <v>208</v>
      </c>
      <c r="AT907" t="s">
        <v>11316</v>
      </c>
      <c r="AU907">
        <v>2001</v>
      </c>
      <c r="AV907">
        <v>24</v>
      </c>
      <c r="AW907">
        <v>2</v>
      </c>
      <c r="AX907" t="s">
        <v>74</v>
      </c>
      <c r="AY907" t="s">
        <v>74</v>
      </c>
      <c r="AZ907" t="s">
        <v>74</v>
      </c>
      <c r="BA907" t="s">
        <v>74</v>
      </c>
      <c r="BB907">
        <v>127</v>
      </c>
      <c r="BC907">
        <v>131</v>
      </c>
      <c r="BD907" t="s">
        <v>74</v>
      </c>
      <c r="BE907" t="s">
        <v>12064</v>
      </c>
      <c r="BF907" t="str">
        <f>HYPERLINK("http://dx.doi.org/10.1007/s003000000184","http://dx.doi.org/10.1007/s003000000184")</f>
        <v>http://dx.doi.org/10.1007/s003000000184</v>
      </c>
      <c r="BG907" t="s">
        <v>74</v>
      </c>
      <c r="BH907" t="s">
        <v>74</v>
      </c>
      <c r="BI907">
        <v>5</v>
      </c>
      <c r="BJ907" t="s">
        <v>209</v>
      </c>
      <c r="BK907" t="s">
        <v>88</v>
      </c>
      <c r="BL907" t="s">
        <v>210</v>
      </c>
      <c r="BM907" t="s">
        <v>12032</v>
      </c>
      <c r="BN907" t="s">
        <v>74</v>
      </c>
      <c r="BO907" t="s">
        <v>74</v>
      </c>
      <c r="BP907" t="s">
        <v>74</v>
      </c>
      <c r="BQ907" t="s">
        <v>74</v>
      </c>
      <c r="BR907" t="s">
        <v>91</v>
      </c>
      <c r="BS907" t="s">
        <v>12065</v>
      </c>
      <c r="BT907" t="str">
        <f>HYPERLINK("https%3A%2F%2Fwww.webofscience.com%2Fwos%2Fwoscc%2Ffull-record%2FWOS:000166579800009","View Full Record in Web of Science")</f>
        <v>View Full Record in Web of Science</v>
      </c>
    </row>
    <row r="908" spans="1:72" x14ac:dyDescent="0.15">
      <c r="A908" t="s">
        <v>72</v>
      </c>
      <c r="B908" t="s">
        <v>12066</v>
      </c>
      <c r="C908" t="s">
        <v>74</v>
      </c>
      <c r="D908" t="s">
        <v>74</v>
      </c>
      <c r="E908" t="s">
        <v>74</v>
      </c>
      <c r="F908" t="s">
        <v>12066</v>
      </c>
      <c r="G908" t="s">
        <v>74</v>
      </c>
      <c r="H908" t="s">
        <v>74</v>
      </c>
      <c r="I908" t="s">
        <v>12067</v>
      </c>
      <c r="J908" t="s">
        <v>194</v>
      </c>
      <c r="K908" t="s">
        <v>74</v>
      </c>
      <c r="L908" t="s">
        <v>74</v>
      </c>
      <c r="M908" t="s">
        <v>77</v>
      </c>
      <c r="N908" t="s">
        <v>120</v>
      </c>
      <c r="O908" t="s">
        <v>74</v>
      </c>
      <c r="P908" t="s">
        <v>74</v>
      </c>
      <c r="Q908" t="s">
        <v>74</v>
      </c>
      <c r="R908" t="s">
        <v>74</v>
      </c>
      <c r="S908" t="s">
        <v>74</v>
      </c>
      <c r="T908" t="s">
        <v>74</v>
      </c>
      <c r="U908" t="s">
        <v>12068</v>
      </c>
      <c r="V908" t="s">
        <v>12069</v>
      </c>
      <c r="W908" t="s">
        <v>12070</v>
      </c>
      <c r="X908" t="s">
        <v>12071</v>
      </c>
      <c r="Y908" t="s">
        <v>12072</v>
      </c>
      <c r="Z908" t="s">
        <v>12073</v>
      </c>
      <c r="AA908" t="s">
        <v>12074</v>
      </c>
      <c r="AB908" t="s">
        <v>12075</v>
      </c>
      <c r="AC908" t="s">
        <v>74</v>
      </c>
      <c r="AD908" t="s">
        <v>74</v>
      </c>
      <c r="AE908" t="s">
        <v>74</v>
      </c>
      <c r="AF908" t="s">
        <v>74</v>
      </c>
      <c r="AG908">
        <v>20</v>
      </c>
      <c r="AH908">
        <v>28</v>
      </c>
      <c r="AI908">
        <v>28</v>
      </c>
      <c r="AJ908">
        <v>0</v>
      </c>
      <c r="AK908">
        <v>3</v>
      </c>
      <c r="AL908" t="s">
        <v>248</v>
      </c>
      <c r="AM908" t="s">
        <v>204</v>
      </c>
      <c r="AN908" t="s">
        <v>249</v>
      </c>
      <c r="AO908" t="s">
        <v>206</v>
      </c>
      <c r="AP908" t="s">
        <v>250</v>
      </c>
      <c r="AQ908" t="s">
        <v>74</v>
      </c>
      <c r="AR908" t="s">
        <v>207</v>
      </c>
      <c r="AS908" t="s">
        <v>208</v>
      </c>
      <c r="AT908" t="s">
        <v>11316</v>
      </c>
      <c r="AU908">
        <v>2001</v>
      </c>
      <c r="AV908">
        <v>24</v>
      </c>
      <c r="AW908">
        <v>2</v>
      </c>
      <c r="AX908" t="s">
        <v>74</v>
      </c>
      <c r="AY908" t="s">
        <v>74</v>
      </c>
      <c r="AZ908" t="s">
        <v>74</v>
      </c>
      <c r="BA908" t="s">
        <v>74</v>
      </c>
      <c r="BB908">
        <v>139</v>
      </c>
      <c r="BC908">
        <v>143</v>
      </c>
      <c r="BD908" t="s">
        <v>74</v>
      </c>
      <c r="BE908" t="s">
        <v>12076</v>
      </c>
      <c r="BF908" t="str">
        <f>HYPERLINK("http://dx.doi.org/10.1007/s003000000191","http://dx.doi.org/10.1007/s003000000191")</f>
        <v>http://dx.doi.org/10.1007/s003000000191</v>
      </c>
      <c r="BG908" t="s">
        <v>74</v>
      </c>
      <c r="BH908" t="s">
        <v>74</v>
      </c>
      <c r="BI908">
        <v>5</v>
      </c>
      <c r="BJ908" t="s">
        <v>209</v>
      </c>
      <c r="BK908" t="s">
        <v>88</v>
      </c>
      <c r="BL908" t="s">
        <v>210</v>
      </c>
      <c r="BM908" t="s">
        <v>12032</v>
      </c>
      <c r="BN908" t="s">
        <v>74</v>
      </c>
      <c r="BO908" t="s">
        <v>74</v>
      </c>
      <c r="BP908" t="s">
        <v>74</v>
      </c>
      <c r="BQ908" t="s">
        <v>74</v>
      </c>
      <c r="BR908" t="s">
        <v>91</v>
      </c>
      <c r="BS908" t="s">
        <v>12077</v>
      </c>
      <c r="BT908" t="str">
        <f>HYPERLINK("https%3A%2F%2Fwww.webofscience.com%2Fwos%2Fwoscc%2Ffull-record%2FWOS:000166579800011","View Full Record in Web of Science")</f>
        <v>View Full Record in Web of Science</v>
      </c>
    </row>
    <row r="909" spans="1:72" x14ac:dyDescent="0.15">
      <c r="A909" t="s">
        <v>72</v>
      </c>
      <c r="B909" t="s">
        <v>12078</v>
      </c>
      <c r="C909" t="s">
        <v>74</v>
      </c>
      <c r="D909" t="s">
        <v>74</v>
      </c>
      <c r="E909" t="s">
        <v>74</v>
      </c>
      <c r="F909" t="s">
        <v>12078</v>
      </c>
      <c r="G909" t="s">
        <v>74</v>
      </c>
      <c r="H909" t="s">
        <v>74</v>
      </c>
      <c r="I909" t="s">
        <v>12079</v>
      </c>
      <c r="J909" t="s">
        <v>194</v>
      </c>
      <c r="K909" t="s">
        <v>74</v>
      </c>
      <c r="L909" t="s">
        <v>74</v>
      </c>
      <c r="M909" t="s">
        <v>77</v>
      </c>
      <c r="N909" t="s">
        <v>120</v>
      </c>
      <c r="O909" t="s">
        <v>74</v>
      </c>
      <c r="P909" t="s">
        <v>74</v>
      </c>
      <c r="Q909" t="s">
        <v>74</v>
      </c>
      <c r="R909" t="s">
        <v>74</v>
      </c>
      <c r="S909" t="s">
        <v>74</v>
      </c>
      <c r="T909" t="s">
        <v>74</v>
      </c>
      <c r="U909" t="s">
        <v>12080</v>
      </c>
      <c r="V909" t="s">
        <v>12081</v>
      </c>
      <c r="W909" t="s">
        <v>12082</v>
      </c>
      <c r="X909" t="s">
        <v>12083</v>
      </c>
      <c r="Y909" t="s">
        <v>12084</v>
      </c>
      <c r="Z909" t="s">
        <v>74</v>
      </c>
      <c r="AA909" t="s">
        <v>74</v>
      </c>
      <c r="AB909" t="s">
        <v>12085</v>
      </c>
      <c r="AC909" t="s">
        <v>74</v>
      </c>
      <c r="AD909" t="s">
        <v>74</v>
      </c>
      <c r="AE909" t="s">
        <v>74</v>
      </c>
      <c r="AF909" t="s">
        <v>74</v>
      </c>
      <c r="AG909">
        <v>10</v>
      </c>
      <c r="AH909">
        <v>2</v>
      </c>
      <c r="AI909">
        <v>3</v>
      </c>
      <c r="AJ909">
        <v>0</v>
      </c>
      <c r="AK909">
        <v>8</v>
      </c>
      <c r="AL909" t="s">
        <v>203</v>
      </c>
      <c r="AM909" t="s">
        <v>204</v>
      </c>
      <c r="AN909" t="s">
        <v>205</v>
      </c>
      <c r="AO909" t="s">
        <v>206</v>
      </c>
      <c r="AP909" t="s">
        <v>74</v>
      </c>
      <c r="AQ909" t="s">
        <v>74</v>
      </c>
      <c r="AR909" t="s">
        <v>207</v>
      </c>
      <c r="AS909" t="s">
        <v>208</v>
      </c>
      <c r="AT909" t="s">
        <v>11316</v>
      </c>
      <c r="AU909">
        <v>2001</v>
      </c>
      <c r="AV909">
        <v>24</v>
      </c>
      <c r="AW909">
        <v>2</v>
      </c>
      <c r="AX909" t="s">
        <v>74</v>
      </c>
      <c r="AY909" t="s">
        <v>74</v>
      </c>
      <c r="AZ909" t="s">
        <v>74</v>
      </c>
      <c r="BA909" t="s">
        <v>74</v>
      </c>
      <c r="BB909">
        <v>144</v>
      </c>
      <c r="BC909">
        <v>146</v>
      </c>
      <c r="BD909" t="s">
        <v>74</v>
      </c>
      <c r="BE909" t="s">
        <v>12086</v>
      </c>
      <c r="BF909" t="str">
        <f>HYPERLINK("http://dx.doi.org/10.1007/s003000000194","http://dx.doi.org/10.1007/s003000000194")</f>
        <v>http://dx.doi.org/10.1007/s003000000194</v>
      </c>
      <c r="BG909" t="s">
        <v>74</v>
      </c>
      <c r="BH909" t="s">
        <v>74</v>
      </c>
      <c r="BI909">
        <v>3</v>
      </c>
      <c r="BJ909" t="s">
        <v>209</v>
      </c>
      <c r="BK909" t="s">
        <v>88</v>
      </c>
      <c r="BL909" t="s">
        <v>210</v>
      </c>
      <c r="BM909" t="s">
        <v>12032</v>
      </c>
      <c r="BN909" t="s">
        <v>74</v>
      </c>
      <c r="BO909" t="s">
        <v>74</v>
      </c>
      <c r="BP909" t="s">
        <v>74</v>
      </c>
      <c r="BQ909" t="s">
        <v>74</v>
      </c>
      <c r="BR909" t="s">
        <v>91</v>
      </c>
      <c r="BS909" t="s">
        <v>12087</v>
      </c>
      <c r="BT909" t="str">
        <f>HYPERLINK("https%3A%2F%2Fwww.webofscience.com%2Fwos%2Fwoscc%2Ffull-record%2FWOS:000166579800012","View Full Record in Web of Science")</f>
        <v>View Full Record in Web of Science</v>
      </c>
    </row>
    <row r="910" spans="1:72" x14ac:dyDescent="0.15">
      <c r="A910" t="s">
        <v>72</v>
      </c>
      <c r="B910" t="s">
        <v>12088</v>
      </c>
      <c r="C910" t="s">
        <v>74</v>
      </c>
      <c r="D910" t="s">
        <v>74</v>
      </c>
      <c r="E910" t="s">
        <v>74</v>
      </c>
      <c r="F910" t="s">
        <v>12088</v>
      </c>
      <c r="G910" t="s">
        <v>74</v>
      </c>
      <c r="H910" t="s">
        <v>74</v>
      </c>
      <c r="I910" t="s">
        <v>12089</v>
      </c>
      <c r="J910" t="s">
        <v>5398</v>
      </c>
      <c r="K910" t="s">
        <v>74</v>
      </c>
      <c r="L910" t="s">
        <v>74</v>
      </c>
      <c r="M910" t="s">
        <v>77</v>
      </c>
      <c r="N910" t="s">
        <v>96</v>
      </c>
      <c r="O910" t="s">
        <v>74</v>
      </c>
      <c r="P910" t="s">
        <v>74</v>
      </c>
      <c r="Q910" t="s">
        <v>74</v>
      </c>
      <c r="R910" t="s">
        <v>74</v>
      </c>
      <c r="S910" t="s">
        <v>74</v>
      </c>
      <c r="T910" t="s">
        <v>74</v>
      </c>
      <c r="U910" t="s">
        <v>12090</v>
      </c>
      <c r="V910" t="s">
        <v>12091</v>
      </c>
      <c r="W910" t="s">
        <v>12092</v>
      </c>
      <c r="X910" t="s">
        <v>12093</v>
      </c>
      <c r="Y910" t="s">
        <v>12094</v>
      </c>
      <c r="Z910" t="s">
        <v>12095</v>
      </c>
      <c r="AA910" t="s">
        <v>12096</v>
      </c>
      <c r="AB910" t="s">
        <v>12097</v>
      </c>
      <c r="AC910" t="s">
        <v>74</v>
      </c>
      <c r="AD910" t="s">
        <v>74</v>
      </c>
      <c r="AE910" t="s">
        <v>74</v>
      </c>
      <c r="AF910" t="s">
        <v>74</v>
      </c>
      <c r="AG910">
        <v>147</v>
      </c>
      <c r="AH910">
        <v>101</v>
      </c>
      <c r="AI910">
        <v>109</v>
      </c>
      <c r="AJ910">
        <v>1</v>
      </c>
      <c r="AK910">
        <v>42</v>
      </c>
      <c r="AL910" t="s">
        <v>149</v>
      </c>
      <c r="AM910" t="s">
        <v>150</v>
      </c>
      <c r="AN910" t="s">
        <v>151</v>
      </c>
      <c r="AO910" t="s">
        <v>5407</v>
      </c>
      <c r="AP910" t="s">
        <v>5408</v>
      </c>
      <c r="AQ910" t="s">
        <v>74</v>
      </c>
      <c r="AR910" t="s">
        <v>5409</v>
      </c>
      <c r="AS910" t="s">
        <v>5410</v>
      </c>
      <c r="AT910" t="s">
        <v>11316</v>
      </c>
      <c r="AU910">
        <v>2001</v>
      </c>
      <c r="AV910">
        <v>39</v>
      </c>
      <c r="AW910">
        <v>1</v>
      </c>
      <c r="AX910" t="s">
        <v>74</v>
      </c>
      <c r="AY910" t="s">
        <v>74</v>
      </c>
      <c r="AZ910" t="s">
        <v>74</v>
      </c>
      <c r="BA910" t="s">
        <v>74</v>
      </c>
      <c r="BB910">
        <v>29</v>
      </c>
      <c r="BC910">
        <v>70</v>
      </c>
      <c r="BD910" t="s">
        <v>74</v>
      </c>
      <c r="BE910" t="s">
        <v>12098</v>
      </c>
      <c r="BF910" t="str">
        <f>HYPERLINK("http://dx.doi.org/10.1029/1998RG000043","http://dx.doi.org/10.1029/1998RG000043")</f>
        <v>http://dx.doi.org/10.1029/1998RG000043</v>
      </c>
      <c r="BG910" t="s">
        <v>74</v>
      </c>
      <c r="BH910" t="s">
        <v>74</v>
      </c>
      <c r="BI910">
        <v>42</v>
      </c>
      <c r="BJ910" t="s">
        <v>388</v>
      </c>
      <c r="BK910" t="s">
        <v>88</v>
      </c>
      <c r="BL910" t="s">
        <v>388</v>
      </c>
      <c r="BM910" t="s">
        <v>12099</v>
      </c>
      <c r="BN910" t="s">
        <v>74</v>
      </c>
      <c r="BO910" t="s">
        <v>896</v>
      </c>
      <c r="BP910" t="s">
        <v>74</v>
      </c>
      <c r="BQ910" t="s">
        <v>74</v>
      </c>
      <c r="BR910" t="s">
        <v>91</v>
      </c>
      <c r="BS910" t="s">
        <v>12100</v>
      </c>
      <c r="BT910" t="str">
        <f>HYPERLINK("https%3A%2F%2Fwww.webofscience.com%2Fwos%2Fwoscc%2Ffull-record%2FWOS:000167029600002","View Full Record in Web of Science")</f>
        <v>View Full Record in Web of Science</v>
      </c>
    </row>
    <row r="911" spans="1:72" x14ac:dyDescent="0.15">
      <c r="A911" t="s">
        <v>72</v>
      </c>
      <c r="B911" t="s">
        <v>12101</v>
      </c>
      <c r="C911" t="s">
        <v>74</v>
      </c>
      <c r="D911" t="s">
        <v>74</v>
      </c>
      <c r="E911" t="s">
        <v>74</v>
      </c>
      <c r="F911" t="s">
        <v>12101</v>
      </c>
      <c r="G911" t="s">
        <v>74</v>
      </c>
      <c r="H911" t="s">
        <v>74</v>
      </c>
      <c r="I911" t="s">
        <v>12102</v>
      </c>
      <c r="J911" t="s">
        <v>5398</v>
      </c>
      <c r="K911" t="s">
        <v>74</v>
      </c>
      <c r="L911" t="s">
        <v>74</v>
      </c>
      <c r="M911" t="s">
        <v>77</v>
      </c>
      <c r="N911" t="s">
        <v>96</v>
      </c>
      <c r="O911" t="s">
        <v>74</v>
      </c>
      <c r="P911" t="s">
        <v>74</v>
      </c>
      <c r="Q911" t="s">
        <v>74</v>
      </c>
      <c r="R911" t="s">
        <v>74</v>
      </c>
      <c r="S911" t="s">
        <v>74</v>
      </c>
      <c r="T911" t="s">
        <v>74</v>
      </c>
      <c r="U911" t="s">
        <v>12103</v>
      </c>
      <c r="V911" t="s">
        <v>12104</v>
      </c>
      <c r="W911" t="s">
        <v>12105</v>
      </c>
      <c r="X911" t="s">
        <v>12106</v>
      </c>
      <c r="Y911" t="s">
        <v>12107</v>
      </c>
      <c r="Z911" t="s">
        <v>12108</v>
      </c>
      <c r="AA911" t="s">
        <v>12109</v>
      </c>
      <c r="AB911" t="s">
        <v>12110</v>
      </c>
      <c r="AC911" t="s">
        <v>74</v>
      </c>
      <c r="AD911" t="s">
        <v>74</v>
      </c>
      <c r="AE911" t="s">
        <v>74</v>
      </c>
      <c r="AF911" t="s">
        <v>74</v>
      </c>
      <c r="AG911">
        <v>202</v>
      </c>
      <c r="AH911">
        <v>332</v>
      </c>
      <c r="AI911">
        <v>387</v>
      </c>
      <c r="AJ911">
        <v>3</v>
      </c>
      <c r="AK911">
        <v>70</v>
      </c>
      <c r="AL911" t="s">
        <v>149</v>
      </c>
      <c r="AM911" t="s">
        <v>150</v>
      </c>
      <c r="AN911" t="s">
        <v>151</v>
      </c>
      <c r="AO911" t="s">
        <v>5407</v>
      </c>
      <c r="AP911" t="s">
        <v>5408</v>
      </c>
      <c r="AQ911" t="s">
        <v>74</v>
      </c>
      <c r="AR911" t="s">
        <v>5409</v>
      </c>
      <c r="AS911" t="s">
        <v>5410</v>
      </c>
      <c r="AT911" t="s">
        <v>11316</v>
      </c>
      <c r="AU911">
        <v>2001</v>
      </c>
      <c r="AV911">
        <v>39</v>
      </c>
      <c r="AW911">
        <v>1</v>
      </c>
      <c r="AX911" t="s">
        <v>74</v>
      </c>
      <c r="AY911" t="s">
        <v>74</v>
      </c>
      <c r="AZ911" t="s">
        <v>74</v>
      </c>
      <c r="BA911" t="s">
        <v>74</v>
      </c>
      <c r="BB911">
        <v>71</v>
      </c>
      <c r="BC911">
        <v>122</v>
      </c>
      <c r="BD911" t="s">
        <v>74</v>
      </c>
      <c r="BE911" t="s">
        <v>12111</v>
      </c>
      <c r="BF911" t="str">
        <f>HYPERLINK("http://dx.doi.org/10.1029/1999RG000065","http://dx.doi.org/10.1029/1999RG000065")</f>
        <v>http://dx.doi.org/10.1029/1999RG000065</v>
      </c>
      <c r="BG911" t="s">
        <v>74</v>
      </c>
      <c r="BH911" t="s">
        <v>74</v>
      </c>
      <c r="BI911">
        <v>52</v>
      </c>
      <c r="BJ911" t="s">
        <v>388</v>
      </c>
      <c r="BK911" t="s">
        <v>88</v>
      </c>
      <c r="BL911" t="s">
        <v>388</v>
      </c>
      <c r="BM911" t="s">
        <v>12099</v>
      </c>
      <c r="BN911" t="s">
        <v>74</v>
      </c>
      <c r="BO911" t="s">
        <v>171</v>
      </c>
      <c r="BP911" t="s">
        <v>74</v>
      </c>
      <c r="BQ911" t="s">
        <v>74</v>
      </c>
      <c r="BR911" t="s">
        <v>91</v>
      </c>
      <c r="BS911" t="s">
        <v>12112</v>
      </c>
      <c r="BT911" t="str">
        <f>HYPERLINK("https%3A%2F%2Fwww.webofscience.com%2Fwos%2Fwoscc%2Ffull-record%2FWOS:000167029600003","View Full Record in Web of Science")</f>
        <v>View Full Record in Web of Science</v>
      </c>
    </row>
    <row r="912" spans="1:72" x14ac:dyDescent="0.15">
      <c r="A912" t="s">
        <v>72</v>
      </c>
      <c r="B912" t="s">
        <v>12113</v>
      </c>
      <c r="C912" t="s">
        <v>74</v>
      </c>
      <c r="D912" t="s">
        <v>74</v>
      </c>
      <c r="E912" t="s">
        <v>74</v>
      </c>
      <c r="F912" t="s">
        <v>12113</v>
      </c>
      <c r="G912" t="s">
        <v>74</v>
      </c>
      <c r="H912" t="s">
        <v>74</v>
      </c>
      <c r="I912" t="s">
        <v>12114</v>
      </c>
      <c r="J912" t="s">
        <v>7587</v>
      </c>
      <c r="K912" t="s">
        <v>74</v>
      </c>
      <c r="L912" t="s">
        <v>74</v>
      </c>
      <c r="M912" t="s">
        <v>77</v>
      </c>
      <c r="N912" t="s">
        <v>120</v>
      </c>
      <c r="O912" t="s">
        <v>74</v>
      </c>
      <c r="P912" t="s">
        <v>74</v>
      </c>
      <c r="Q912" t="s">
        <v>74</v>
      </c>
      <c r="R912" t="s">
        <v>74</v>
      </c>
      <c r="S912" t="s">
        <v>74</v>
      </c>
      <c r="T912" t="s">
        <v>74</v>
      </c>
      <c r="U912" t="s">
        <v>12115</v>
      </c>
      <c r="V912" t="s">
        <v>12116</v>
      </c>
      <c r="W912" t="s">
        <v>12117</v>
      </c>
      <c r="X912" t="s">
        <v>12118</v>
      </c>
      <c r="Y912" t="s">
        <v>12119</v>
      </c>
      <c r="Z912" t="s">
        <v>12120</v>
      </c>
      <c r="AA912" t="s">
        <v>12121</v>
      </c>
      <c r="AB912" t="s">
        <v>12122</v>
      </c>
      <c r="AC912" t="s">
        <v>74</v>
      </c>
      <c r="AD912" t="s">
        <v>74</v>
      </c>
      <c r="AE912" t="s">
        <v>74</v>
      </c>
      <c r="AF912" t="s">
        <v>74</v>
      </c>
      <c r="AG912">
        <v>48</v>
      </c>
      <c r="AH912">
        <v>138</v>
      </c>
      <c r="AI912">
        <v>150</v>
      </c>
      <c r="AJ912">
        <v>1</v>
      </c>
      <c r="AK912">
        <v>18</v>
      </c>
      <c r="AL912" t="s">
        <v>104</v>
      </c>
      <c r="AM912" t="s">
        <v>105</v>
      </c>
      <c r="AN912" t="s">
        <v>106</v>
      </c>
      <c r="AO912" t="s">
        <v>12123</v>
      </c>
      <c r="AP912" t="s">
        <v>74</v>
      </c>
      <c r="AQ912" t="s">
        <v>74</v>
      </c>
      <c r="AR912" t="s">
        <v>7596</v>
      </c>
      <c r="AS912" t="s">
        <v>7597</v>
      </c>
      <c r="AT912" t="s">
        <v>11316</v>
      </c>
      <c r="AU912">
        <v>2001</v>
      </c>
      <c r="AV912">
        <v>53</v>
      </c>
      <c r="AW912">
        <v>1</v>
      </c>
      <c r="AX912" t="s">
        <v>74</v>
      </c>
      <c r="AY912" t="s">
        <v>74</v>
      </c>
      <c r="AZ912" t="s">
        <v>74</v>
      </c>
      <c r="BA912" t="s">
        <v>74</v>
      </c>
      <c r="BB912">
        <v>53</v>
      </c>
      <c r="BC912">
        <v>71</v>
      </c>
      <c r="BD912" t="s">
        <v>74</v>
      </c>
      <c r="BE912" t="s">
        <v>12124</v>
      </c>
      <c r="BF912" t="str">
        <f>HYPERLINK("http://dx.doi.org/10.1034/j.1600-0889.2001.01154.x","http://dx.doi.org/10.1034/j.1600-0889.2001.01154.x")</f>
        <v>http://dx.doi.org/10.1034/j.1600-0889.2001.01154.x</v>
      </c>
      <c r="BG912" t="s">
        <v>74</v>
      </c>
      <c r="BH912" t="s">
        <v>74</v>
      </c>
      <c r="BI912">
        <v>19</v>
      </c>
      <c r="BJ912" t="s">
        <v>538</v>
      </c>
      <c r="BK912" t="s">
        <v>88</v>
      </c>
      <c r="BL912" t="s">
        <v>538</v>
      </c>
      <c r="BM912" t="s">
        <v>12125</v>
      </c>
      <c r="BN912" t="s">
        <v>74</v>
      </c>
      <c r="BO912" t="s">
        <v>761</v>
      </c>
      <c r="BP912" t="s">
        <v>74</v>
      </c>
      <c r="BQ912" t="s">
        <v>74</v>
      </c>
      <c r="BR912" t="s">
        <v>91</v>
      </c>
      <c r="BS912" t="s">
        <v>12126</v>
      </c>
      <c r="BT912" t="str">
        <f>HYPERLINK("https%3A%2F%2Fwww.webofscience.com%2Fwos%2Fwoscc%2Ffull-record%2FWOS:000166786100005","View Full Record in Web of Science")</f>
        <v>View Full Record in Web of Science</v>
      </c>
    </row>
    <row r="913" spans="1:72" x14ac:dyDescent="0.15">
      <c r="A913" t="s">
        <v>72</v>
      </c>
      <c r="B913" t="s">
        <v>12127</v>
      </c>
      <c r="C913" t="s">
        <v>74</v>
      </c>
      <c r="D913" t="s">
        <v>74</v>
      </c>
      <c r="E913" t="s">
        <v>74</v>
      </c>
      <c r="F913" t="s">
        <v>12127</v>
      </c>
      <c r="G913" t="s">
        <v>74</v>
      </c>
      <c r="H913" t="s">
        <v>74</v>
      </c>
      <c r="I913" t="s">
        <v>12128</v>
      </c>
      <c r="J913" t="s">
        <v>522</v>
      </c>
      <c r="K913" t="s">
        <v>74</v>
      </c>
      <c r="L913" t="s">
        <v>74</v>
      </c>
      <c r="M913" t="s">
        <v>77</v>
      </c>
      <c r="N913" t="s">
        <v>120</v>
      </c>
      <c r="O913" t="s">
        <v>74</v>
      </c>
      <c r="P913" t="s">
        <v>74</v>
      </c>
      <c r="Q913" t="s">
        <v>74</v>
      </c>
      <c r="R913" t="s">
        <v>74</v>
      </c>
      <c r="S913" t="s">
        <v>74</v>
      </c>
      <c r="T913" t="s">
        <v>74</v>
      </c>
      <c r="U913" t="s">
        <v>12129</v>
      </c>
      <c r="V913" t="s">
        <v>12130</v>
      </c>
      <c r="W913" t="s">
        <v>12131</v>
      </c>
      <c r="X913" t="s">
        <v>12132</v>
      </c>
      <c r="Y913" t="s">
        <v>3083</v>
      </c>
      <c r="Z913" t="s">
        <v>74</v>
      </c>
      <c r="AA913" t="s">
        <v>12133</v>
      </c>
      <c r="AB913" t="s">
        <v>12134</v>
      </c>
      <c r="AC913" t="s">
        <v>74</v>
      </c>
      <c r="AD913" t="s">
        <v>74</v>
      </c>
      <c r="AE913" t="s">
        <v>74</v>
      </c>
      <c r="AF913" t="s">
        <v>74</v>
      </c>
      <c r="AG913">
        <v>34</v>
      </c>
      <c r="AH913">
        <v>47</v>
      </c>
      <c r="AI913">
        <v>52</v>
      </c>
      <c r="AJ913">
        <v>0</v>
      </c>
      <c r="AK913">
        <v>17</v>
      </c>
      <c r="AL913" t="s">
        <v>149</v>
      </c>
      <c r="AM913" t="s">
        <v>150</v>
      </c>
      <c r="AN913" t="s">
        <v>151</v>
      </c>
      <c r="AO913" t="s">
        <v>531</v>
      </c>
      <c r="AP913" t="s">
        <v>532</v>
      </c>
      <c r="AQ913" t="s">
        <v>74</v>
      </c>
      <c r="AR913" t="s">
        <v>533</v>
      </c>
      <c r="AS913" t="s">
        <v>534</v>
      </c>
      <c r="AT913" t="s">
        <v>12135</v>
      </c>
      <c r="AU913">
        <v>2001</v>
      </c>
      <c r="AV913">
        <v>106</v>
      </c>
      <c r="AW913" t="s">
        <v>12136</v>
      </c>
      <c r="AX913" t="s">
        <v>74</v>
      </c>
      <c r="AY913" t="s">
        <v>74</v>
      </c>
      <c r="AZ913" t="s">
        <v>74</v>
      </c>
      <c r="BA913" t="s">
        <v>74</v>
      </c>
      <c r="BB913">
        <v>1595</v>
      </c>
      <c r="BC913">
        <v>1606</v>
      </c>
      <c r="BD913" t="s">
        <v>74</v>
      </c>
      <c r="BE913" t="s">
        <v>12137</v>
      </c>
      <c r="BF913" t="str">
        <f>HYPERLINK("http://dx.doi.org/10.1029/2000JD900511","http://dx.doi.org/10.1029/2000JD900511")</f>
        <v>http://dx.doi.org/10.1029/2000JD900511</v>
      </c>
      <c r="BG913" t="s">
        <v>74</v>
      </c>
      <c r="BH913" t="s">
        <v>74</v>
      </c>
      <c r="BI913">
        <v>12</v>
      </c>
      <c r="BJ913" t="s">
        <v>538</v>
      </c>
      <c r="BK913" t="s">
        <v>88</v>
      </c>
      <c r="BL913" t="s">
        <v>538</v>
      </c>
      <c r="BM913" t="s">
        <v>12138</v>
      </c>
      <c r="BN913" t="s">
        <v>74</v>
      </c>
      <c r="BO913" t="s">
        <v>171</v>
      </c>
      <c r="BP913" t="s">
        <v>74</v>
      </c>
      <c r="BQ913" t="s">
        <v>74</v>
      </c>
      <c r="BR913" t="s">
        <v>91</v>
      </c>
      <c r="BS913" t="s">
        <v>12139</v>
      </c>
      <c r="BT913" t="str">
        <f>HYPERLINK("https%3A%2F%2Fwww.webofscience.com%2Fwos%2Fwoscc%2Ffull-record%2FWOS:000166596400011","View Full Record in Web of Science")</f>
        <v>View Full Record in Web of Science</v>
      </c>
    </row>
    <row r="914" spans="1:72" x14ac:dyDescent="0.15">
      <c r="A914" t="s">
        <v>72</v>
      </c>
      <c r="B914" t="s">
        <v>12140</v>
      </c>
      <c r="C914" t="s">
        <v>74</v>
      </c>
      <c r="D914" t="s">
        <v>74</v>
      </c>
      <c r="E914" t="s">
        <v>74</v>
      </c>
      <c r="F914" t="s">
        <v>12140</v>
      </c>
      <c r="G914" t="s">
        <v>74</v>
      </c>
      <c r="H914" t="s">
        <v>74</v>
      </c>
      <c r="I914" t="s">
        <v>12141</v>
      </c>
      <c r="J914" t="s">
        <v>5669</v>
      </c>
      <c r="K914" t="s">
        <v>74</v>
      </c>
      <c r="L914" t="s">
        <v>74</v>
      </c>
      <c r="M914" t="s">
        <v>77</v>
      </c>
      <c r="N914" t="s">
        <v>120</v>
      </c>
      <c r="O914" t="s">
        <v>74</v>
      </c>
      <c r="P914" t="s">
        <v>74</v>
      </c>
      <c r="Q914" t="s">
        <v>74</v>
      </c>
      <c r="R914" t="s">
        <v>74</v>
      </c>
      <c r="S914" t="s">
        <v>74</v>
      </c>
      <c r="T914" t="s">
        <v>12142</v>
      </c>
      <c r="U914" t="s">
        <v>12143</v>
      </c>
      <c r="V914" t="s">
        <v>12144</v>
      </c>
      <c r="W914" t="s">
        <v>12145</v>
      </c>
      <c r="X914" t="s">
        <v>12146</v>
      </c>
      <c r="Y914" t="s">
        <v>12147</v>
      </c>
      <c r="Z914" t="s">
        <v>12148</v>
      </c>
      <c r="AA914" t="s">
        <v>12149</v>
      </c>
      <c r="AB914" t="s">
        <v>12150</v>
      </c>
      <c r="AC914" t="s">
        <v>74</v>
      </c>
      <c r="AD914" t="s">
        <v>74</v>
      </c>
      <c r="AE914" t="s">
        <v>74</v>
      </c>
      <c r="AF914" t="s">
        <v>74</v>
      </c>
      <c r="AG914">
        <v>60</v>
      </c>
      <c r="AH914">
        <v>106</v>
      </c>
      <c r="AI914">
        <v>126</v>
      </c>
      <c r="AJ914">
        <v>1</v>
      </c>
      <c r="AK914">
        <v>42</v>
      </c>
      <c r="AL914" t="s">
        <v>5678</v>
      </c>
      <c r="AM914" t="s">
        <v>683</v>
      </c>
      <c r="AN914" t="s">
        <v>1268</v>
      </c>
      <c r="AO914" t="s">
        <v>5679</v>
      </c>
      <c r="AP914" t="s">
        <v>5680</v>
      </c>
      <c r="AQ914" t="s">
        <v>74</v>
      </c>
      <c r="AR914" t="s">
        <v>5681</v>
      </c>
      <c r="AS914" t="s">
        <v>5682</v>
      </c>
      <c r="AT914" t="s">
        <v>12151</v>
      </c>
      <c r="AU914">
        <v>2001</v>
      </c>
      <c r="AV914">
        <v>305</v>
      </c>
      <c r="AW914">
        <v>4</v>
      </c>
      <c r="AX914" t="s">
        <v>74</v>
      </c>
      <c r="AY914" t="s">
        <v>74</v>
      </c>
      <c r="AZ914" t="s">
        <v>74</v>
      </c>
      <c r="BA914" t="s">
        <v>74</v>
      </c>
      <c r="BB914">
        <v>875</v>
      </c>
      <c r="BC914">
        <v>889</v>
      </c>
      <c r="BD914" t="s">
        <v>74</v>
      </c>
      <c r="BE914" t="s">
        <v>12152</v>
      </c>
      <c r="BF914" t="str">
        <f>HYPERLINK("http://dx.doi.org/10.1006/jmbi.2000.4336","http://dx.doi.org/10.1006/jmbi.2000.4336")</f>
        <v>http://dx.doi.org/10.1006/jmbi.2000.4336</v>
      </c>
      <c r="BG914" t="s">
        <v>74</v>
      </c>
      <c r="BH914" t="s">
        <v>74</v>
      </c>
      <c r="BI914">
        <v>15</v>
      </c>
      <c r="BJ914" t="s">
        <v>2248</v>
      </c>
      <c r="BK914" t="s">
        <v>88</v>
      </c>
      <c r="BL914" t="s">
        <v>2248</v>
      </c>
      <c r="BM914" t="s">
        <v>12153</v>
      </c>
      <c r="BN914">
        <v>11162099</v>
      </c>
      <c r="BO914" t="s">
        <v>74</v>
      </c>
      <c r="BP914" t="s">
        <v>74</v>
      </c>
      <c r="BQ914" t="s">
        <v>74</v>
      </c>
      <c r="BR914" t="s">
        <v>91</v>
      </c>
      <c r="BS914" t="s">
        <v>12154</v>
      </c>
      <c r="BT914" t="str">
        <f>HYPERLINK("https%3A%2F%2Fwww.webofscience.com%2Fwos%2Fwoscc%2Ffull-record%2FWOS:000166748300018","View Full Record in Web of Science")</f>
        <v>View Full Record in Web of Science</v>
      </c>
    </row>
    <row r="915" spans="1:72" x14ac:dyDescent="0.15">
      <c r="A915" t="s">
        <v>72</v>
      </c>
      <c r="B915" t="s">
        <v>12155</v>
      </c>
      <c r="C915" t="s">
        <v>74</v>
      </c>
      <c r="D915" t="s">
        <v>74</v>
      </c>
      <c r="E915" t="s">
        <v>74</v>
      </c>
      <c r="F915" t="s">
        <v>12155</v>
      </c>
      <c r="G915" t="s">
        <v>74</v>
      </c>
      <c r="H915" t="s">
        <v>74</v>
      </c>
      <c r="I915" t="s">
        <v>12156</v>
      </c>
      <c r="J915" t="s">
        <v>4391</v>
      </c>
      <c r="K915" t="s">
        <v>74</v>
      </c>
      <c r="L915" t="s">
        <v>74</v>
      </c>
      <c r="M915" t="s">
        <v>77</v>
      </c>
      <c r="N915" t="s">
        <v>120</v>
      </c>
      <c r="O915" t="s">
        <v>74</v>
      </c>
      <c r="P915" t="s">
        <v>74</v>
      </c>
      <c r="Q915" t="s">
        <v>74</v>
      </c>
      <c r="R915" t="s">
        <v>74</v>
      </c>
      <c r="S915" t="s">
        <v>74</v>
      </c>
      <c r="T915" t="s">
        <v>74</v>
      </c>
      <c r="U915" t="s">
        <v>12157</v>
      </c>
      <c r="V915" t="s">
        <v>12158</v>
      </c>
      <c r="W915" t="s">
        <v>12159</v>
      </c>
      <c r="X915" t="s">
        <v>12160</v>
      </c>
      <c r="Y915" t="s">
        <v>12161</v>
      </c>
      <c r="Z915" t="s">
        <v>12162</v>
      </c>
      <c r="AA915" t="s">
        <v>74</v>
      </c>
      <c r="AB915" t="s">
        <v>74</v>
      </c>
      <c r="AC915" t="s">
        <v>74</v>
      </c>
      <c r="AD915" t="s">
        <v>74</v>
      </c>
      <c r="AE915" t="s">
        <v>74</v>
      </c>
      <c r="AF915" t="s">
        <v>74</v>
      </c>
      <c r="AG915">
        <v>38</v>
      </c>
      <c r="AH915">
        <v>27</v>
      </c>
      <c r="AI915">
        <v>30</v>
      </c>
      <c r="AJ915">
        <v>0</v>
      </c>
      <c r="AK915">
        <v>11</v>
      </c>
      <c r="AL915" t="s">
        <v>149</v>
      </c>
      <c r="AM915" t="s">
        <v>150</v>
      </c>
      <c r="AN915" t="s">
        <v>151</v>
      </c>
      <c r="AO915" t="s">
        <v>4399</v>
      </c>
      <c r="AP915" t="s">
        <v>4400</v>
      </c>
      <c r="AQ915" t="s">
        <v>74</v>
      </c>
      <c r="AR915" t="s">
        <v>4401</v>
      </c>
      <c r="AS915" t="s">
        <v>4402</v>
      </c>
      <c r="AT915" t="s">
        <v>12163</v>
      </c>
      <c r="AU915">
        <v>2001</v>
      </c>
      <c r="AV915">
        <v>106</v>
      </c>
      <c r="AW915" t="s">
        <v>12164</v>
      </c>
      <c r="AX915" t="s">
        <v>74</v>
      </c>
      <c r="AY915" t="s">
        <v>74</v>
      </c>
      <c r="AZ915" t="s">
        <v>74</v>
      </c>
      <c r="BA915" t="s">
        <v>74</v>
      </c>
      <c r="BB915">
        <v>1453</v>
      </c>
      <c r="BC915">
        <v>1462</v>
      </c>
      <c r="BD915" t="s">
        <v>74</v>
      </c>
      <c r="BE915" t="s">
        <v>12165</v>
      </c>
      <c r="BF915" t="str">
        <f>HYPERLINK("http://dx.doi.org/10.1029/2000JE001254","http://dx.doi.org/10.1029/2000JE001254")</f>
        <v>http://dx.doi.org/10.1029/2000JE001254</v>
      </c>
      <c r="BG915" t="s">
        <v>74</v>
      </c>
      <c r="BH915" t="s">
        <v>74</v>
      </c>
      <c r="BI915">
        <v>10</v>
      </c>
      <c r="BJ915" t="s">
        <v>388</v>
      </c>
      <c r="BK915" t="s">
        <v>88</v>
      </c>
      <c r="BL915" t="s">
        <v>388</v>
      </c>
      <c r="BM915" t="s">
        <v>12166</v>
      </c>
      <c r="BN915" t="s">
        <v>74</v>
      </c>
      <c r="BO915" t="s">
        <v>171</v>
      </c>
      <c r="BP915" t="s">
        <v>74</v>
      </c>
      <c r="BQ915" t="s">
        <v>74</v>
      </c>
      <c r="BR915" t="s">
        <v>91</v>
      </c>
      <c r="BS915" t="s">
        <v>12167</v>
      </c>
      <c r="BT915" t="str">
        <f>HYPERLINK("https%3A%2F%2Fwww.webofscience.com%2Fwos%2Fwoscc%2Ffull-record%2FWOS:000166597100005","View Full Record in Web of Science")</f>
        <v>View Full Record in Web of Science</v>
      </c>
    </row>
    <row r="916" spans="1:72" x14ac:dyDescent="0.15">
      <c r="A916" t="s">
        <v>72</v>
      </c>
      <c r="B916" t="s">
        <v>12168</v>
      </c>
      <c r="C916" t="s">
        <v>74</v>
      </c>
      <c r="D916" t="s">
        <v>74</v>
      </c>
      <c r="E916" t="s">
        <v>74</v>
      </c>
      <c r="F916" t="s">
        <v>12168</v>
      </c>
      <c r="G916" t="s">
        <v>74</v>
      </c>
      <c r="H916" t="s">
        <v>74</v>
      </c>
      <c r="I916" t="s">
        <v>12169</v>
      </c>
      <c r="J916" t="s">
        <v>5689</v>
      </c>
      <c r="K916" t="s">
        <v>74</v>
      </c>
      <c r="L916" t="s">
        <v>74</v>
      </c>
      <c r="M916" t="s">
        <v>77</v>
      </c>
      <c r="N916" t="s">
        <v>696</v>
      </c>
      <c r="O916" t="s">
        <v>74</v>
      </c>
      <c r="P916" t="s">
        <v>74</v>
      </c>
      <c r="Q916" t="s">
        <v>74</v>
      </c>
      <c r="R916" t="s">
        <v>74</v>
      </c>
      <c r="S916" t="s">
        <v>74</v>
      </c>
      <c r="T916" t="s">
        <v>74</v>
      </c>
      <c r="U916" t="s">
        <v>74</v>
      </c>
      <c r="V916" t="s">
        <v>74</v>
      </c>
      <c r="W916" t="s">
        <v>74</v>
      </c>
      <c r="X916" t="s">
        <v>74</v>
      </c>
      <c r="Y916" t="s">
        <v>74</v>
      </c>
      <c r="Z916" t="s">
        <v>74</v>
      </c>
      <c r="AA916" t="s">
        <v>74</v>
      </c>
      <c r="AB916" t="s">
        <v>74</v>
      </c>
      <c r="AC916" t="s">
        <v>74</v>
      </c>
      <c r="AD916" t="s">
        <v>74</v>
      </c>
      <c r="AE916" t="s">
        <v>74</v>
      </c>
      <c r="AF916" t="s">
        <v>74</v>
      </c>
      <c r="AG916">
        <v>1</v>
      </c>
      <c r="AH916">
        <v>0</v>
      </c>
      <c r="AI916">
        <v>0</v>
      </c>
      <c r="AJ916">
        <v>0</v>
      </c>
      <c r="AK916">
        <v>1</v>
      </c>
      <c r="AL916" t="s">
        <v>5690</v>
      </c>
      <c r="AM916" t="s">
        <v>5691</v>
      </c>
      <c r="AN916" t="s">
        <v>5692</v>
      </c>
      <c r="AO916" t="s">
        <v>5693</v>
      </c>
      <c r="AP916" t="s">
        <v>74</v>
      </c>
      <c r="AQ916" t="s">
        <v>74</v>
      </c>
      <c r="AR916" t="s">
        <v>5694</v>
      </c>
      <c r="AS916" t="s">
        <v>5695</v>
      </c>
      <c r="AT916" t="s">
        <v>12170</v>
      </c>
      <c r="AU916">
        <v>2001</v>
      </c>
      <c r="AV916" t="s">
        <v>74</v>
      </c>
      <c r="AW916">
        <v>5103</v>
      </c>
      <c r="AX916" t="s">
        <v>74</v>
      </c>
      <c r="AY916" t="s">
        <v>74</v>
      </c>
      <c r="AZ916" t="s">
        <v>74</v>
      </c>
      <c r="BA916" t="s">
        <v>74</v>
      </c>
      <c r="BB916">
        <v>18</v>
      </c>
      <c r="BC916">
        <v>19</v>
      </c>
      <c r="BD916" t="s">
        <v>74</v>
      </c>
      <c r="BE916" t="s">
        <v>74</v>
      </c>
      <c r="BF916" t="s">
        <v>74</v>
      </c>
      <c r="BG916" t="s">
        <v>74</v>
      </c>
      <c r="BH916" t="s">
        <v>74</v>
      </c>
      <c r="BI916">
        <v>2</v>
      </c>
      <c r="BJ916" t="s">
        <v>3201</v>
      </c>
      <c r="BK916" t="s">
        <v>3202</v>
      </c>
      <c r="BL916" t="s">
        <v>3203</v>
      </c>
      <c r="BM916" t="s">
        <v>12171</v>
      </c>
      <c r="BN916" t="s">
        <v>74</v>
      </c>
      <c r="BO916" t="s">
        <v>74</v>
      </c>
      <c r="BP916" t="s">
        <v>74</v>
      </c>
      <c r="BQ916" t="s">
        <v>74</v>
      </c>
      <c r="BR916" t="s">
        <v>91</v>
      </c>
      <c r="BS916" t="s">
        <v>12172</v>
      </c>
      <c r="BT916" t="str">
        <f>HYPERLINK("https%3A%2F%2Fwww.webofscience.com%2Fwos%2Fwoscc%2Ffull-record%2FWOS:000166567300029","View Full Record in Web of Science")</f>
        <v>View Full Record in Web of Science</v>
      </c>
    </row>
    <row r="917" spans="1:72" x14ac:dyDescent="0.15">
      <c r="A917" t="s">
        <v>72</v>
      </c>
      <c r="B917" t="s">
        <v>12168</v>
      </c>
      <c r="C917" t="s">
        <v>74</v>
      </c>
      <c r="D917" t="s">
        <v>74</v>
      </c>
      <c r="E917" t="s">
        <v>74</v>
      </c>
      <c r="F917" t="s">
        <v>12168</v>
      </c>
      <c r="G917" t="s">
        <v>74</v>
      </c>
      <c r="H917" t="s">
        <v>74</v>
      </c>
      <c r="I917" t="s">
        <v>12169</v>
      </c>
      <c r="J917" t="s">
        <v>5689</v>
      </c>
      <c r="K917" t="s">
        <v>74</v>
      </c>
      <c r="L917" t="s">
        <v>74</v>
      </c>
      <c r="M917" t="s">
        <v>77</v>
      </c>
      <c r="N917" t="s">
        <v>12173</v>
      </c>
      <c r="O917" t="s">
        <v>74</v>
      </c>
      <c r="P917" t="s">
        <v>74</v>
      </c>
      <c r="Q917" t="s">
        <v>74</v>
      </c>
      <c r="R917" t="s">
        <v>74</v>
      </c>
      <c r="S917" t="s">
        <v>74</v>
      </c>
      <c r="T917" t="s">
        <v>74</v>
      </c>
      <c r="U917" t="s">
        <v>74</v>
      </c>
      <c r="V917" t="s">
        <v>74</v>
      </c>
      <c r="W917" t="s">
        <v>74</v>
      </c>
      <c r="X917" t="s">
        <v>74</v>
      </c>
      <c r="Y917" t="s">
        <v>74</v>
      </c>
      <c r="Z917" t="s">
        <v>74</v>
      </c>
      <c r="AA917" t="s">
        <v>74</v>
      </c>
      <c r="AB917" t="s">
        <v>74</v>
      </c>
      <c r="AC917" t="s">
        <v>74</v>
      </c>
      <c r="AD917" t="s">
        <v>74</v>
      </c>
      <c r="AE917" t="s">
        <v>74</v>
      </c>
      <c r="AF917" t="s">
        <v>74</v>
      </c>
      <c r="AG917">
        <v>1</v>
      </c>
      <c r="AH917">
        <v>0</v>
      </c>
      <c r="AI917">
        <v>0</v>
      </c>
      <c r="AJ917">
        <v>0</v>
      </c>
      <c r="AK917">
        <v>1</v>
      </c>
      <c r="AL917" t="s">
        <v>5690</v>
      </c>
      <c r="AM917" t="s">
        <v>5691</v>
      </c>
      <c r="AN917" t="s">
        <v>5692</v>
      </c>
      <c r="AO917" t="s">
        <v>5693</v>
      </c>
      <c r="AP917" t="s">
        <v>74</v>
      </c>
      <c r="AQ917" t="s">
        <v>74</v>
      </c>
      <c r="AR917" t="s">
        <v>5694</v>
      </c>
      <c r="AS917" t="s">
        <v>5695</v>
      </c>
      <c r="AT917" t="s">
        <v>12170</v>
      </c>
      <c r="AU917">
        <v>2001</v>
      </c>
      <c r="AV917" t="s">
        <v>74</v>
      </c>
      <c r="AW917">
        <v>5103</v>
      </c>
      <c r="AX917" t="s">
        <v>74</v>
      </c>
      <c r="AY917" t="s">
        <v>74</v>
      </c>
      <c r="AZ917" t="s">
        <v>74</v>
      </c>
      <c r="BA917" t="s">
        <v>74</v>
      </c>
      <c r="BB917">
        <v>18</v>
      </c>
      <c r="BC917">
        <v>19</v>
      </c>
      <c r="BD917" t="s">
        <v>74</v>
      </c>
      <c r="BE917" t="s">
        <v>74</v>
      </c>
      <c r="BF917" t="s">
        <v>74</v>
      </c>
      <c r="BG917" t="s">
        <v>74</v>
      </c>
      <c r="BH917" t="s">
        <v>74</v>
      </c>
      <c r="BI917">
        <v>2</v>
      </c>
      <c r="BJ917" t="s">
        <v>3201</v>
      </c>
      <c r="BK917" t="s">
        <v>3202</v>
      </c>
      <c r="BL917" t="s">
        <v>3203</v>
      </c>
      <c r="BM917" t="s">
        <v>12171</v>
      </c>
      <c r="BN917" t="s">
        <v>74</v>
      </c>
      <c r="BO917" t="s">
        <v>74</v>
      </c>
      <c r="BP917" t="s">
        <v>74</v>
      </c>
      <c r="BQ917" t="s">
        <v>74</v>
      </c>
      <c r="BR917" t="s">
        <v>91</v>
      </c>
      <c r="BS917" t="s">
        <v>12174</v>
      </c>
      <c r="BT917" t="str">
        <f>HYPERLINK("https%3A%2F%2Fwww.webofscience.com%2Fwos%2Fwoscc%2Ffull-record%2FWOS:000166567300028","View Full Record in Web of Science")</f>
        <v>View Full Record in Web of Science</v>
      </c>
    </row>
    <row r="918" spans="1:72" x14ac:dyDescent="0.15">
      <c r="A918" t="s">
        <v>72</v>
      </c>
      <c r="B918" t="s">
        <v>12175</v>
      </c>
      <c r="C918" t="s">
        <v>74</v>
      </c>
      <c r="D918" t="s">
        <v>74</v>
      </c>
      <c r="E918" t="s">
        <v>74</v>
      </c>
      <c r="F918" t="s">
        <v>12175</v>
      </c>
      <c r="G918" t="s">
        <v>74</v>
      </c>
      <c r="H918" t="s">
        <v>74</v>
      </c>
      <c r="I918" t="s">
        <v>12176</v>
      </c>
      <c r="J918" t="s">
        <v>12177</v>
      </c>
      <c r="K918" t="s">
        <v>74</v>
      </c>
      <c r="L918" t="s">
        <v>74</v>
      </c>
      <c r="M918" t="s">
        <v>77</v>
      </c>
      <c r="N918" t="s">
        <v>120</v>
      </c>
      <c r="O918" t="s">
        <v>74</v>
      </c>
      <c r="P918" t="s">
        <v>74</v>
      </c>
      <c r="Q918" t="s">
        <v>74</v>
      </c>
      <c r="R918" t="s">
        <v>74</v>
      </c>
      <c r="S918" t="s">
        <v>74</v>
      </c>
      <c r="T918" t="s">
        <v>12178</v>
      </c>
      <c r="U918" t="s">
        <v>12179</v>
      </c>
      <c r="V918" t="s">
        <v>12180</v>
      </c>
      <c r="W918" t="s">
        <v>12181</v>
      </c>
      <c r="X918" t="s">
        <v>5165</v>
      </c>
      <c r="Y918" t="s">
        <v>12182</v>
      </c>
      <c r="Z918" t="s">
        <v>74</v>
      </c>
      <c r="AA918" t="s">
        <v>12183</v>
      </c>
      <c r="AB918" t="s">
        <v>12184</v>
      </c>
      <c r="AC918" t="s">
        <v>74</v>
      </c>
      <c r="AD918" t="s">
        <v>74</v>
      </c>
      <c r="AE918" t="s">
        <v>74</v>
      </c>
      <c r="AF918" t="s">
        <v>74</v>
      </c>
      <c r="AG918">
        <v>70</v>
      </c>
      <c r="AH918">
        <v>26</v>
      </c>
      <c r="AI918">
        <v>28</v>
      </c>
      <c r="AJ918">
        <v>0</v>
      </c>
      <c r="AK918">
        <v>7</v>
      </c>
      <c r="AL918" t="s">
        <v>2929</v>
      </c>
      <c r="AM918" t="s">
        <v>2930</v>
      </c>
      <c r="AN918" t="s">
        <v>2931</v>
      </c>
      <c r="AO918" t="s">
        <v>12185</v>
      </c>
      <c r="AP918" t="s">
        <v>74</v>
      </c>
      <c r="AQ918" t="s">
        <v>74</v>
      </c>
      <c r="AR918" t="s">
        <v>12186</v>
      </c>
      <c r="AS918" t="s">
        <v>12187</v>
      </c>
      <c r="AT918" t="s">
        <v>12188</v>
      </c>
      <c r="AU918">
        <v>2001</v>
      </c>
      <c r="AV918">
        <v>16</v>
      </c>
      <c r="AW918">
        <v>2</v>
      </c>
      <c r="AX918" t="s">
        <v>74</v>
      </c>
      <c r="AY918" t="s">
        <v>74</v>
      </c>
      <c r="AZ918" t="s">
        <v>74</v>
      </c>
      <c r="BA918" t="s">
        <v>74</v>
      </c>
      <c r="BB918">
        <v>79</v>
      </c>
      <c r="BC918">
        <v>99</v>
      </c>
      <c r="BD918" t="s">
        <v>74</v>
      </c>
      <c r="BE918" t="s">
        <v>12189</v>
      </c>
      <c r="BF918" t="str">
        <f>HYPERLINK("http://dx.doi.org/10.3354/cr016079","http://dx.doi.org/10.3354/cr016079")</f>
        <v>http://dx.doi.org/10.3354/cr016079</v>
      </c>
      <c r="BG918" t="s">
        <v>74</v>
      </c>
      <c r="BH918" t="s">
        <v>74</v>
      </c>
      <c r="BI918">
        <v>21</v>
      </c>
      <c r="BJ918" t="s">
        <v>965</v>
      </c>
      <c r="BK918" t="s">
        <v>88</v>
      </c>
      <c r="BL918" t="s">
        <v>966</v>
      </c>
      <c r="BM918" t="s">
        <v>12190</v>
      </c>
      <c r="BN918" t="s">
        <v>74</v>
      </c>
      <c r="BO918" t="s">
        <v>74</v>
      </c>
      <c r="BP918" t="s">
        <v>74</v>
      </c>
      <c r="BQ918" t="s">
        <v>74</v>
      </c>
      <c r="BR918" t="s">
        <v>91</v>
      </c>
      <c r="BS918" t="s">
        <v>12191</v>
      </c>
      <c r="BT918" t="str">
        <f>HYPERLINK("https%3A%2F%2Fwww.webofscience.com%2Fwos%2Fwoscc%2Ffull-record%2FWOS:000166806500001","View Full Record in Web of Science")</f>
        <v>View Full Record in Web of Science</v>
      </c>
    </row>
    <row r="919" spans="1:72" x14ac:dyDescent="0.15">
      <c r="A919" t="s">
        <v>72</v>
      </c>
      <c r="B919" t="s">
        <v>12192</v>
      </c>
      <c r="C919" t="s">
        <v>74</v>
      </c>
      <c r="D919" t="s">
        <v>74</v>
      </c>
      <c r="E919" t="s">
        <v>74</v>
      </c>
      <c r="F919" t="s">
        <v>12192</v>
      </c>
      <c r="G919" t="s">
        <v>74</v>
      </c>
      <c r="H919" t="s">
        <v>74</v>
      </c>
      <c r="I919" t="s">
        <v>12193</v>
      </c>
      <c r="J919" t="s">
        <v>522</v>
      </c>
      <c r="K919" t="s">
        <v>74</v>
      </c>
      <c r="L919" t="s">
        <v>74</v>
      </c>
      <c r="M919" t="s">
        <v>77</v>
      </c>
      <c r="N919" t="s">
        <v>120</v>
      </c>
      <c r="O919" t="s">
        <v>74</v>
      </c>
      <c r="P919" t="s">
        <v>74</v>
      </c>
      <c r="Q919" t="s">
        <v>74</v>
      </c>
      <c r="R919" t="s">
        <v>74</v>
      </c>
      <c r="S919" t="s">
        <v>74</v>
      </c>
      <c r="T919" t="s">
        <v>74</v>
      </c>
      <c r="U919" t="s">
        <v>12194</v>
      </c>
      <c r="V919" t="s">
        <v>12195</v>
      </c>
      <c r="W919" t="s">
        <v>12196</v>
      </c>
      <c r="X919" t="s">
        <v>12197</v>
      </c>
      <c r="Y919" t="s">
        <v>12198</v>
      </c>
      <c r="Z919" t="s">
        <v>74</v>
      </c>
      <c r="AA919" t="s">
        <v>12199</v>
      </c>
      <c r="AB919" t="s">
        <v>12200</v>
      </c>
      <c r="AC919" t="s">
        <v>74</v>
      </c>
      <c r="AD919" t="s">
        <v>74</v>
      </c>
      <c r="AE919" t="s">
        <v>74</v>
      </c>
      <c r="AF919" t="s">
        <v>74</v>
      </c>
      <c r="AG919">
        <v>49</v>
      </c>
      <c r="AH919">
        <v>25</v>
      </c>
      <c r="AI919">
        <v>25</v>
      </c>
      <c r="AJ919">
        <v>0</v>
      </c>
      <c r="AK919">
        <v>2</v>
      </c>
      <c r="AL919" t="s">
        <v>149</v>
      </c>
      <c r="AM919" t="s">
        <v>150</v>
      </c>
      <c r="AN919" t="s">
        <v>151</v>
      </c>
      <c r="AO919" t="s">
        <v>4366</v>
      </c>
      <c r="AP919" t="s">
        <v>74</v>
      </c>
      <c r="AQ919" t="s">
        <v>74</v>
      </c>
      <c r="AR919" t="s">
        <v>533</v>
      </c>
      <c r="AS919" t="s">
        <v>534</v>
      </c>
      <c r="AT919" t="s">
        <v>12201</v>
      </c>
      <c r="AU919">
        <v>2001</v>
      </c>
      <c r="AV919">
        <v>106</v>
      </c>
      <c r="AW919" t="s">
        <v>12202</v>
      </c>
      <c r="AX919" t="s">
        <v>74</v>
      </c>
      <c r="AY919" t="s">
        <v>74</v>
      </c>
      <c r="AZ919" t="s">
        <v>74</v>
      </c>
      <c r="BA919" t="s">
        <v>74</v>
      </c>
      <c r="BB919">
        <v>1311</v>
      </c>
      <c r="BC919">
        <v>1330</v>
      </c>
      <c r="BD919" t="s">
        <v>74</v>
      </c>
      <c r="BE919" t="s">
        <v>12203</v>
      </c>
      <c r="BF919" t="str">
        <f>HYPERLINK("http://dx.doi.org/10.1029/2000JD900459","http://dx.doi.org/10.1029/2000JD900459")</f>
        <v>http://dx.doi.org/10.1029/2000JD900459</v>
      </c>
      <c r="BG919" t="s">
        <v>74</v>
      </c>
      <c r="BH919" t="s">
        <v>74</v>
      </c>
      <c r="BI919">
        <v>20</v>
      </c>
      <c r="BJ919" t="s">
        <v>538</v>
      </c>
      <c r="BK919" t="s">
        <v>88</v>
      </c>
      <c r="BL919" t="s">
        <v>538</v>
      </c>
      <c r="BM919" t="s">
        <v>12204</v>
      </c>
      <c r="BN919" t="s">
        <v>74</v>
      </c>
      <c r="BO919" t="s">
        <v>563</v>
      </c>
      <c r="BP919" t="s">
        <v>74</v>
      </c>
      <c r="BQ919" t="s">
        <v>74</v>
      </c>
      <c r="BR919" t="s">
        <v>91</v>
      </c>
      <c r="BS919" t="s">
        <v>12205</v>
      </c>
      <c r="BT919" t="str">
        <f>HYPERLINK("https%3A%2F%2Fwww.webofscience.com%2Fwos%2Fwoscc%2Ffull-record%2FWOS:000166458500014","View Full Record in Web of Science")</f>
        <v>View Full Record in Web of Science</v>
      </c>
    </row>
    <row r="920" spans="1:72" x14ac:dyDescent="0.15">
      <c r="A920" t="s">
        <v>72</v>
      </c>
      <c r="B920" t="s">
        <v>12206</v>
      </c>
      <c r="C920" t="s">
        <v>74</v>
      </c>
      <c r="D920" t="s">
        <v>74</v>
      </c>
      <c r="E920" t="s">
        <v>74</v>
      </c>
      <c r="F920" t="s">
        <v>12206</v>
      </c>
      <c r="G920" t="s">
        <v>74</v>
      </c>
      <c r="H920" t="s">
        <v>74</v>
      </c>
      <c r="I920" t="s">
        <v>12207</v>
      </c>
      <c r="J920" t="s">
        <v>613</v>
      </c>
      <c r="K920" t="s">
        <v>74</v>
      </c>
      <c r="L920" t="s">
        <v>74</v>
      </c>
      <c r="M920" t="s">
        <v>77</v>
      </c>
      <c r="N920" t="s">
        <v>120</v>
      </c>
      <c r="O920" t="s">
        <v>74</v>
      </c>
      <c r="P920" t="s">
        <v>74</v>
      </c>
      <c r="Q920" t="s">
        <v>74</v>
      </c>
      <c r="R920" t="s">
        <v>74</v>
      </c>
      <c r="S920" t="s">
        <v>74</v>
      </c>
      <c r="T920" t="s">
        <v>74</v>
      </c>
      <c r="U920" t="s">
        <v>12208</v>
      </c>
      <c r="V920" t="s">
        <v>12209</v>
      </c>
      <c r="W920" t="s">
        <v>12210</v>
      </c>
      <c r="X920" t="s">
        <v>12211</v>
      </c>
      <c r="Y920" t="s">
        <v>12212</v>
      </c>
      <c r="Z920" t="s">
        <v>74</v>
      </c>
      <c r="AA920" t="s">
        <v>12213</v>
      </c>
      <c r="AB920" t="s">
        <v>12214</v>
      </c>
      <c r="AC920" t="s">
        <v>74</v>
      </c>
      <c r="AD920" t="s">
        <v>74</v>
      </c>
      <c r="AE920" t="s">
        <v>74</v>
      </c>
      <c r="AF920" t="s">
        <v>74</v>
      </c>
      <c r="AG920">
        <v>12</v>
      </c>
      <c r="AH920">
        <v>54</v>
      </c>
      <c r="AI920">
        <v>57</v>
      </c>
      <c r="AJ920">
        <v>0</v>
      </c>
      <c r="AK920">
        <v>9</v>
      </c>
      <c r="AL920" t="s">
        <v>149</v>
      </c>
      <c r="AM920" t="s">
        <v>150</v>
      </c>
      <c r="AN920" t="s">
        <v>151</v>
      </c>
      <c r="AO920" t="s">
        <v>619</v>
      </c>
      <c r="AP920" t="s">
        <v>74</v>
      </c>
      <c r="AQ920" t="s">
        <v>74</v>
      </c>
      <c r="AR920" t="s">
        <v>620</v>
      </c>
      <c r="AS920" t="s">
        <v>621</v>
      </c>
      <c r="AT920" t="s">
        <v>12215</v>
      </c>
      <c r="AU920">
        <v>2001</v>
      </c>
      <c r="AV920">
        <v>28</v>
      </c>
      <c r="AW920">
        <v>2</v>
      </c>
      <c r="AX920" t="s">
        <v>74</v>
      </c>
      <c r="AY920" t="s">
        <v>74</v>
      </c>
      <c r="AZ920" t="s">
        <v>74</v>
      </c>
      <c r="BA920" t="s">
        <v>74</v>
      </c>
      <c r="BB920">
        <v>199</v>
      </c>
      <c r="BC920">
        <v>202</v>
      </c>
      <c r="BD920" t="s">
        <v>74</v>
      </c>
      <c r="BE920" t="s">
        <v>12216</v>
      </c>
      <c r="BF920" t="str">
        <f>HYPERLINK("http://dx.doi.org/10.1029/2000GL011951","http://dx.doi.org/10.1029/2000GL011951")</f>
        <v>http://dx.doi.org/10.1029/2000GL011951</v>
      </c>
      <c r="BG920" t="s">
        <v>74</v>
      </c>
      <c r="BH920" t="s">
        <v>74</v>
      </c>
      <c r="BI920">
        <v>4</v>
      </c>
      <c r="BJ920" t="s">
        <v>300</v>
      </c>
      <c r="BK920" t="s">
        <v>88</v>
      </c>
      <c r="BL920" t="s">
        <v>113</v>
      </c>
      <c r="BM920" t="s">
        <v>12217</v>
      </c>
      <c r="BN920" t="s">
        <v>74</v>
      </c>
      <c r="BO920" t="s">
        <v>171</v>
      </c>
      <c r="BP920" t="s">
        <v>74</v>
      </c>
      <c r="BQ920" t="s">
        <v>74</v>
      </c>
      <c r="BR920" t="s">
        <v>91</v>
      </c>
      <c r="BS920" t="s">
        <v>12218</v>
      </c>
      <c r="BT920" t="str">
        <f>HYPERLINK("https%3A%2F%2Fwww.webofscience.com%2Fwos%2Fwoscc%2Ffull-record%2FWOS:000166415400001","View Full Record in Web of Science")</f>
        <v>View Full Record in Web of Science</v>
      </c>
    </row>
    <row r="921" spans="1:72" x14ac:dyDescent="0.15">
      <c r="A921" t="s">
        <v>72</v>
      </c>
      <c r="B921" t="s">
        <v>12219</v>
      </c>
      <c r="C921" t="s">
        <v>74</v>
      </c>
      <c r="D921" t="s">
        <v>74</v>
      </c>
      <c r="E921" t="s">
        <v>74</v>
      </c>
      <c r="F921" t="s">
        <v>12219</v>
      </c>
      <c r="G921" t="s">
        <v>74</v>
      </c>
      <c r="H921" t="s">
        <v>74</v>
      </c>
      <c r="I921" t="s">
        <v>12220</v>
      </c>
      <c r="J921" t="s">
        <v>613</v>
      </c>
      <c r="K921" t="s">
        <v>74</v>
      </c>
      <c r="L921" t="s">
        <v>74</v>
      </c>
      <c r="M921" t="s">
        <v>77</v>
      </c>
      <c r="N921" t="s">
        <v>120</v>
      </c>
      <c r="O921" t="s">
        <v>74</v>
      </c>
      <c r="P921" t="s">
        <v>74</v>
      </c>
      <c r="Q921" t="s">
        <v>74</v>
      </c>
      <c r="R921" t="s">
        <v>74</v>
      </c>
      <c r="S921" t="s">
        <v>74</v>
      </c>
      <c r="T921" t="s">
        <v>74</v>
      </c>
      <c r="U921" t="s">
        <v>12221</v>
      </c>
      <c r="V921" t="s">
        <v>12222</v>
      </c>
      <c r="W921" t="s">
        <v>12223</v>
      </c>
      <c r="X921" t="s">
        <v>1528</v>
      </c>
      <c r="Y921" t="s">
        <v>12224</v>
      </c>
      <c r="Z921" t="s">
        <v>74</v>
      </c>
      <c r="AA921" t="s">
        <v>74</v>
      </c>
      <c r="AB921" t="s">
        <v>74</v>
      </c>
      <c r="AC921" t="s">
        <v>74</v>
      </c>
      <c r="AD921" t="s">
        <v>74</v>
      </c>
      <c r="AE921" t="s">
        <v>74</v>
      </c>
      <c r="AF921" t="s">
        <v>74</v>
      </c>
      <c r="AG921">
        <v>16</v>
      </c>
      <c r="AH921">
        <v>19</v>
      </c>
      <c r="AI921">
        <v>21</v>
      </c>
      <c r="AJ921">
        <v>0</v>
      </c>
      <c r="AK921">
        <v>2</v>
      </c>
      <c r="AL921" t="s">
        <v>149</v>
      </c>
      <c r="AM921" t="s">
        <v>150</v>
      </c>
      <c r="AN921" t="s">
        <v>151</v>
      </c>
      <c r="AO921" t="s">
        <v>619</v>
      </c>
      <c r="AP921" t="s">
        <v>74</v>
      </c>
      <c r="AQ921" t="s">
        <v>74</v>
      </c>
      <c r="AR921" t="s">
        <v>620</v>
      </c>
      <c r="AS921" t="s">
        <v>621</v>
      </c>
      <c r="AT921" t="s">
        <v>12215</v>
      </c>
      <c r="AU921">
        <v>2001</v>
      </c>
      <c r="AV921">
        <v>28</v>
      </c>
      <c r="AW921">
        <v>2</v>
      </c>
      <c r="AX921" t="s">
        <v>74</v>
      </c>
      <c r="AY921" t="s">
        <v>74</v>
      </c>
      <c r="AZ921" t="s">
        <v>74</v>
      </c>
      <c r="BA921" t="s">
        <v>74</v>
      </c>
      <c r="BB921">
        <v>203</v>
      </c>
      <c r="BC921">
        <v>206</v>
      </c>
      <c r="BD921" t="s">
        <v>74</v>
      </c>
      <c r="BE921" t="s">
        <v>12225</v>
      </c>
      <c r="BF921" t="str">
        <f>HYPERLINK("http://dx.doi.org/10.1029/2000GL000116","http://dx.doi.org/10.1029/2000GL000116")</f>
        <v>http://dx.doi.org/10.1029/2000GL000116</v>
      </c>
      <c r="BG921" t="s">
        <v>74</v>
      </c>
      <c r="BH921" t="s">
        <v>74</v>
      </c>
      <c r="BI921">
        <v>4</v>
      </c>
      <c r="BJ921" t="s">
        <v>300</v>
      </c>
      <c r="BK921" t="s">
        <v>88</v>
      </c>
      <c r="BL921" t="s">
        <v>113</v>
      </c>
      <c r="BM921" t="s">
        <v>12217</v>
      </c>
      <c r="BN921" t="s">
        <v>74</v>
      </c>
      <c r="BO921" t="s">
        <v>171</v>
      </c>
      <c r="BP921" t="s">
        <v>74</v>
      </c>
      <c r="BQ921" t="s">
        <v>74</v>
      </c>
      <c r="BR921" t="s">
        <v>91</v>
      </c>
      <c r="BS921" t="s">
        <v>12226</v>
      </c>
      <c r="BT921" t="str">
        <f>HYPERLINK("https%3A%2F%2Fwww.webofscience.com%2Fwos%2Fwoscc%2Ffull-record%2FWOS:000166415400002","View Full Record in Web of Science")</f>
        <v>View Full Record in Web of Science</v>
      </c>
    </row>
    <row r="922" spans="1:72" x14ac:dyDescent="0.15">
      <c r="A922" t="s">
        <v>72</v>
      </c>
      <c r="B922" t="s">
        <v>12227</v>
      </c>
      <c r="C922" t="s">
        <v>74</v>
      </c>
      <c r="D922" t="s">
        <v>74</v>
      </c>
      <c r="E922" t="s">
        <v>74</v>
      </c>
      <c r="F922" t="s">
        <v>12227</v>
      </c>
      <c r="G922" t="s">
        <v>74</v>
      </c>
      <c r="H922" t="s">
        <v>74</v>
      </c>
      <c r="I922" t="s">
        <v>12228</v>
      </c>
      <c r="J922" t="s">
        <v>613</v>
      </c>
      <c r="K922" t="s">
        <v>74</v>
      </c>
      <c r="L922" t="s">
        <v>74</v>
      </c>
      <c r="M922" t="s">
        <v>77</v>
      </c>
      <c r="N922" t="s">
        <v>120</v>
      </c>
      <c r="O922" t="s">
        <v>74</v>
      </c>
      <c r="P922" t="s">
        <v>74</v>
      </c>
      <c r="Q922" t="s">
        <v>74</v>
      </c>
      <c r="R922" t="s">
        <v>74</v>
      </c>
      <c r="S922" t="s">
        <v>74</v>
      </c>
      <c r="T922" t="s">
        <v>74</v>
      </c>
      <c r="U922" t="s">
        <v>12229</v>
      </c>
      <c r="V922" t="s">
        <v>12230</v>
      </c>
      <c r="W922" t="s">
        <v>12231</v>
      </c>
      <c r="X922" t="s">
        <v>12232</v>
      </c>
      <c r="Y922" t="s">
        <v>12233</v>
      </c>
      <c r="Z922" t="s">
        <v>74</v>
      </c>
      <c r="AA922" t="s">
        <v>12234</v>
      </c>
      <c r="AB922" t="s">
        <v>12235</v>
      </c>
      <c r="AC922" t="s">
        <v>74</v>
      </c>
      <c r="AD922" t="s">
        <v>74</v>
      </c>
      <c r="AE922" t="s">
        <v>74</v>
      </c>
      <c r="AF922" t="s">
        <v>74</v>
      </c>
      <c r="AG922">
        <v>25</v>
      </c>
      <c r="AH922">
        <v>50</v>
      </c>
      <c r="AI922">
        <v>55</v>
      </c>
      <c r="AJ922">
        <v>0</v>
      </c>
      <c r="AK922">
        <v>21</v>
      </c>
      <c r="AL922" t="s">
        <v>149</v>
      </c>
      <c r="AM922" t="s">
        <v>150</v>
      </c>
      <c r="AN922" t="s">
        <v>151</v>
      </c>
      <c r="AO922" t="s">
        <v>619</v>
      </c>
      <c r="AP922" t="s">
        <v>74</v>
      </c>
      <c r="AQ922" t="s">
        <v>74</v>
      </c>
      <c r="AR922" t="s">
        <v>620</v>
      </c>
      <c r="AS922" t="s">
        <v>621</v>
      </c>
      <c r="AT922" t="s">
        <v>12215</v>
      </c>
      <c r="AU922">
        <v>2001</v>
      </c>
      <c r="AV922">
        <v>28</v>
      </c>
      <c r="AW922">
        <v>2</v>
      </c>
      <c r="AX922" t="s">
        <v>74</v>
      </c>
      <c r="AY922" t="s">
        <v>74</v>
      </c>
      <c r="AZ922" t="s">
        <v>74</v>
      </c>
      <c r="BA922" t="s">
        <v>74</v>
      </c>
      <c r="BB922">
        <v>295</v>
      </c>
      <c r="BC922">
        <v>298</v>
      </c>
      <c r="BD922" t="s">
        <v>74</v>
      </c>
      <c r="BE922" t="s">
        <v>12236</v>
      </c>
      <c r="BF922" t="str">
        <f>HYPERLINK("http://dx.doi.org/10.1029/2000GL012170","http://dx.doi.org/10.1029/2000GL012170")</f>
        <v>http://dx.doi.org/10.1029/2000GL012170</v>
      </c>
      <c r="BG922" t="s">
        <v>74</v>
      </c>
      <c r="BH922" t="s">
        <v>74</v>
      </c>
      <c r="BI922">
        <v>4</v>
      </c>
      <c r="BJ922" t="s">
        <v>300</v>
      </c>
      <c r="BK922" t="s">
        <v>88</v>
      </c>
      <c r="BL922" t="s">
        <v>113</v>
      </c>
      <c r="BM922" t="s">
        <v>12217</v>
      </c>
      <c r="BN922" t="s">
        <v>74</v>
      </c>
      <c r="BO922" t="s">
        <v>171</v>
      </c>
      <c r="BP922" t="s">
        <v>74</v>
      </c>
      <c r="BQ922" t="s">
        <v>74</v>
      </c>
      <c r="BR922" t="s">
        <v>91</v>
      </c>
      <c r="BS922" t="s">
        <v>12237</v>
      </c>
      <c r="BT922" t="str">
        <f>HYPERLINK("https%3A%2F%2Fwww.webofscience.com%2Fwos%2Fwoscc%2Ffull-record%2FWOS:000166415400025","View Full Record in Web of Science")</f>
        <v>View Full Record in Web of Science</v>
      </c>
    </row>
    <row r="923" spans="1:72" x14ac:dyDescent="0.15">
      <c r="A923" t="s">
        <v>72</v>
      </c>
      <c r="B923" t="s">
        <v>12238</v>
      </c>
      <c r="C923" t="s">
        <v>74</v>
      </c>
      <c r="D923" t="s">
        <v>74</v>
      </c>
      <c r="E923" t="s">
        <v>74</v>
      </c>
      <c r="F923" t="s">
        <v>12238</v>
      </c>
      <c r="G923" t="s">
        <v>74</v>
      </c>
      <c r="H923" t="s">
        <v>74</v>
      </c>
      <c r="I923" t="s">
        <v>12239</v>
      </c>
      <c r="J923" t="s">
        <v>613</v>
      </c>
      <c r="K923" t="s">
        <v>74</v>
      </c>
      <c r="L923" t="s">
        <v>74</v>
      </c>
      <c r="M923" t="s">
        <v>77</v>
      </c>
      <c r="N923" t="s">
        <v>120</v>
      </c>
      <c r="O923" t="s">
        <v>74</v>
      </c>
      <c r="P923" t="s">
        <v>74</v>
      </c>
      <c r="Q923" t="s">
        <v>74</v>
      </c>
      <c r="R923" t="s">
        <v>74</v>
      </c>
      <c r="S923" t="s">
        <v>74</v>
      </c>
      <c r="T923" t="s">
        <v>74</v>
      </c>
      <c r="U923" t="s">
        <v>12240</v>
      </c>
      <c r="V923" t="s">
        <v>12241</v>
      </c>
      <c r="W923" t="s">
        <v>12242</v>
      </c>
      <c r="X923" t="s">
        <v>12243</v>
      </c>
      <c r="Y923" t="s">
        <v>12244</v>
      </c>
      <c r="Z923" t="s">
        <v>74</v>
      </c>
      <c r="AA923" t="s">
        <v>74</v>
      </c>
      <c r="AB923" t="s">
        <v>12245</v>
      </c>
      <c r="AC923" t="s">
        <v>74</v>
      </c>
      <c r="AD923" t="s">
        <v>74</v>
      </c>
      <c r="AE923" t="s">
        <v>74</v>
      </c>
      <c r="AF923" t="s">
        <v>74</v>
      </c>
      <c r="AG923">
        <v>19</v>
      </c>
      <c r="AH923">
        <v>41</v>
      </c>
      <c r="AI923">
        <v>47</v>
      </c>
      <c r="AJ923">
        <v>0</v>
      </c>
      <c r="AK923">
        <v>8</v>
      </c>
      <c r="AL923" t="s">
        <v>149</v>
      </c>
      <c r="AM923" t="s">
        <v>150</v>
      </c>
      <c r="AN923" t="s">
        <v>151</v>
      </c>
      <c r="AO923" t="s">
        <v>619</v>
      </c>
      <c r="AP923" t="s">
        <v>74</v>
      </c>
      <c r="AQ923" t="s">
        <v>74</v>
      </c>
      <c r="AR923" t="s">
        <v>620</v>
      </c>
      <c r="AS923" t="s">
        <v>621</v>
      </c>
      <c r="AT923" t="s">
        <v>12215</v>
      </c>
      <c r="AU923">
        <v>2001</v>
      </c>
      <c r="AV923">
        <v>28</v>
      </c>
      <c r="AW923">
        <v>2</v>
      </c>
      <c r="AX923" t="s">
        <v>74</v>
      </c>
      <c r="AY923" t="s">
        <v>74</v>
      </c>
      <c r="AZ923" t="s">
        <v>74</v>
      </c>
      <c r="BA923" t="s">
        <v>74</v>
      </c>
      <c r="BB923">
        <v>307</v>
      </c>
      <c r="BC923">
        <v>310</v>
      </c>
      <c r="BD923" t="s">
        <v>74</v>
      </c>
      <c r="BE923" t="s">
        <v>12246</v>
      </c>
      <c r="BF923" t="str">
        <f>HYPERLINK("http://dx.doi.org/10.1029/2000GL011549","http://dx.doi.org/10.1029/2000GL011549")</f>
        <v>http://dx.doi.org/10.1029/2000GL011549</v>
      </c>
      <c r="BG923" t="s">
        <v>74</v>
      </c>
      <c r="BH923" t="s">
        <v>74</v>
      </c>
      <c r="BI923">
        <v>4</v>
      </c>
      <c r="BJ923" t="s">
        <v>300</v>
      </c>
      <c r="BK923" t="s">
        <v>88</v>
      </c>
      <c r="BL923" t="s">
        <v>113</v>
      </c>
      <c r="BM923" t="s">
        <v>12217</v>
      </c>
      <c r="BN923" t="s">
        <v>74</v>
      </c>
      <c r="BO923" t="s">
        <v>74</v>
      </c>
      <c r="BP923" t="s">
        <v>74</v>
      </c>
      <c r="BQ923" t="s">
        <v>74</v>
      </c>
      <c r="BR923" t="s">
        <v>91</v>
      </c>
      <c r="BS923" t="s">
        <v>12247</v>
      </c>
      <c r="BT923" t="str">
        <f>HYPERLINK("https%3A%2F%2Fwww.webofscience.com%2Fwos%2Fwoscc%2Ffull-record%2FWOS:000166415400028","View Full Record in Web of Science")</f>
        <v>View Full Record in Web of Science</v>
      </c>
    </row>
    <row r="924" spans="1:72" x14ac:dyDescent="0.15">
      <c r="A924" t="s">
        <v>72</v>
      </c>
      <c r="B924" t="s">
        <v>12248</v>
      </c>
      <c r="C924" t="s">
        <v>74</v>
      </c>
      <c r="D924" t="s">
        <v>74</v>
      </c>
      <c r="E924" t="s">
        <v>74</v>
      </c>
      <c r="F924" t="s">
        <v>12248</v>
      </c>
      <c r="G924" t="s">
        <v>74</v>
      </c>
      <c r="H924" t="s">
        <v>74</v>
      </c>
      <c r="I924" t="s">
        <v>12249</v>
      </c>
      <c r="J924" t="s">
        <v>5568</v>
      </c>
      <c r="K924" t="s">
        <v>74</v>
      </c>
      <c r="L924" t="s">
        <v>74</v>
      </c>
      <c r="M924" t="s">
        <v>77</v>
      </c>
      <c r="N924" t="s">
        <v>120</v>
      </c>
      <c r="O924" t="s">
        <v>74</v>
      </c>
      <c r="P924" t="s">
        <v>74</v>
      </c>
      <c r="Q924" t="s">
        <v>74</v>
      </c>
      <c r="R924" t="s">
        <v>74</v>
      </c>
      <c r="S924" t="s">
        <v>74</v>
      </c>
      <c r="T924" t="s">
        <v>74</v>
      </c>
      <c r="U924" t="s">
        <v>12250</v>
      </c>
      <c r="V924" t="s">
        <v>12251</v>
      </c>
      <c r="W924" t="s">
        <v>12252</v>
      </c>
      <c r="X924" t="s">
        <v>11077</v>
      </c>
      <c r="Y924" t="s">
        <v>12253</v>
      </c>
      <c r="Z924" t="s">
        <v>12254</v>
      </c>
      <c r="AA924" t="s">
        <v>12255</v>
      </c>
      <c r="AB924" t="s">
        <v>11081</v>
      </c>
      <c r="AC924" t="s">
        <v>74</v>
      </c>
      <c r="AD924" t="s">
        <v>74</v>
      </c>
      <c r="AE924" t="s">
        <v>74</v>
      </c>
      <c r="AF924" t="s">
        <v>74</v>
      </c>
      <c r="AG924">
        <v>30</v>
      </c>
      <c r="AH924">
        <v>56</v>
      </c>
      <c r="AI924">
        <v>60</v>
      </c>
      <c r="AJ924">
        <v>0</v>
      </c>
      <c r="AK924">
        <v>2</v>
      </c>
      <c r="AL924" t="s">
        <v>3914</v>
      </c>
      <c r="AM924" t="s">
        <v>3915</v>
      </c>
      <c r="AN924" t="s">
        <v>3916</v>
      </c>
      <c r="AO924" t="s">
        <v>5574</v>
      </c>
      <c r="AP924" t="s">
        <v>12256</v>
      </c>
      <c r="AQ924" t="s">
        <v>74</v>
      </c>
      <c r="AR924" t="s">
        <v>5575</v>
      </c>
      <c r="AS924" t="s">
        <v>5576</v>
      </c>
      <c r="AT924" t="s">
        <v>12215</v>
      </c>
      <c r="AU924">
        <v>2001</v>
      </c>
      <c r="AV924">
        <v>14</v>
      </c>
      <c r="AW924">
        <v>2</v>
      </c>
      <c r="AX924" t="s">
        <v>74</v>
      </c>
      <c r="AY924" t="s">
        <v>74</v>
      </c>
      <c r="AZ924" t="s">
        <v>74</v>
      </c>
      <c r="BA924" t="s">
        <v>74</v>
      </c>
      <c r="BB924">
        <v>164</v>
      </c>
      <c r="BC924">
        <v>179</v>
      </c>
      <c r="BD924" t="s">
        <v>74</v>
      </c>
      <c r="BE924" t="s">
        <v>12257</v>
      </c>
      <c r="BF924" t="str">
        <f>HYPERLINK("http://dx.doi.org/10.1175/1520-0442(2001)014&lt;0164:ITTNCF&gt;2.0.CO;2","http://dx.doi.org/10.1175/1520-0442(2001)014&lt;0164:ITTNCF&gt;2.0.CO;2")</f>
        <v>http://dx.doi.org/10.1175/1520-0442(2001)014&lt;0164:ITTNCF&gt;2.0.CO;2</v>
      </c>
      <c r="BG924" t="s">
        <v>74</v>
      </c>
      <c r="BH924" t="s">
        <v>74</v>
      </c>
      <c r="BI924">
        <v>16</v>
      </c>
      <c r="BJ924" t="s">
        <v>538</v>
      </c>
      <c r="BK924" t="s">
        <v>88</v>
      </c>
      <c r="BL924" t="s">
        <v>538</v>
      </c>
      <c r="BM924" t="s">
        <v>12258</v>
      </c>
      <c r="BN924" t="s">
        <v>74</v>
      </c>
      <c r="BO924" t="s">
        <v>359</v>
      </c>
      <c r="BP924" t="s">
        <v>74</v>
      </c>
      <c r="BQ924" t="s">
        <v>74</v>
      </c>
      <c r="BR924" t="s">
        <v>91</v>
      </c>
      <c r="BS924" t="s">
        <v>12259</v>
      </c>
      <c r="BT924" t="str">
        <f>HYPERLINK("https%3A%2F%2Fwww.webofscience.com%2Fwos%2Fwoscc%2Ffull-record%2FWOS:000166798400003","View Full Record in Web of Science")</f>
        <v>View Full Record in Web of Science</v>
      </c>
    </row>
    <row r="925" spans="1:72" x14ac:dyDescent="0.15">
      <c r="A925" t="s">
        <v>72</v>
      </c>
      <c r="B925" t="s">
        <v>12260</v>
      </c>
      <c r="C925" t="s">
        <v>74</v>
      </c>
      <c r="D925" t="s">
        <v>74</v>
      </c>
      <c r="E925" t="s">
        <v>74</v>
      </c>
      <c r="F925" t="s">
        <v>12260</v>
      </c>
      <c r="G925" t="s">
        <v>74</v>
      </c>
      <c r="H925" t="s">
        <v>74</v>
      </c>
      <c r="I925" t="s">
        <v>12261</v>
      </c>
      <c r="J925" t="s">
        <v>5629</v>
      </c>
      <c r="K925" t="s">
        <v>74</v>
      </c>
      <c r="L925" t="s">
        <v>74</v>
      </c>
      <c r="M925" t="s">
        <v>77</v>
      </c>
      <c r="N925" t="s">
        <v>120</v>
      </c>
      <c r="O925" t="s">
        <v>74</v>
      </c>
      <c r="P925" t="s">
        <v>74</v>
      </c>
      <c r="Q925" t="s">
        <v>74</v>
      </c>
      <c r="R925" t="s">
        <v>74</v>
      </c>
      <c r="S925" t="s">
        <v>74</v>
      </c>
      <c r="T925" t="s">
        <v>74</v>
      </c>
      <c r="U925" t="s">
        <v>12262</v>
      </c>
      <c r="V925" t="s">
        <v>12263</v>
      </c>
      <c r="W925" t="s">
        <v>12264</v>
      </c>
      <c r="X925" t="s">
        <v>12265</v>
      </c>
      <c r="Y925" t="s">
        <v>12266</v>
      </c>
      <c r="Z925" t="s">
        <v>12267</v>
      </c>
      <c r="AA925" t="s">
        <v>12268</v>
      </c>
      <c r="AB925" t="s">
        <v>12269</v>
      </c>
      <c r="AC925" t="s">
        <v>74</v>
      </c>
      <c r="AD925" t="s">
        <v>74</v>
      </c>
      <c r="AE925" t="s">
        <v>74</v>
      </c>
      <c r="AF925" t="s">
        <v>74</v>
      </c>
      <c r="AG925">
        <v>33</v>
      </c>
      <c r="AH925">
        <v>43</v>
      </c>
      <c r="AI925">
        <v>53</v>
      </c>
      <c r="AJ925">
        <v>1</v>
      </c>
      <c r="AK925">
        <v>14</v>
      </c>
      <c r="AL925" t="s">
        <v>5636</v>
      </c>
      <c r="AM925" t="s">
        <v>12017</v>
      </c>
      <c r="AN925" t="s">
        <v>12270</v>
      </c>
      <c r="AO925" t="s">
        <v>5639</v>
      </c>
      <c r="AP925" t="s">
        <v>5640</v>
      </c>
      <c r="AQ925" t="s">
        <v>74</v>
      </c>
      <c r="AR925" t="s">
        <v>5641</v>
      </c>
      <c r="AS925" t="s">
        <v>5642</v>
      </c>
      <c r="AT925" t="s">
        <v>12271</v>
      </c>
      <c r="AU925">
        <v>2001</v>
      </c>
      <c r="AV925">
        <v>276</v>
      </c>
      <c r="AW925">
        <v>2</v>
      </c>
      <c r="AX925" t="s">
        <v>74</v>
      </c>
      <c r="AY925" t="s">
        <v>74</v>
      </c>
      <c r="AZ925" t="s">
        <v>74</v>
      </c>
      <c r="BA925" t="s">
        <v>74</v>
      </c>
      <c r="BB925">
        <v>1304</v>
      </c>
      <c r="BC925">
        <v>1310</v>
      </c>
      <c r="BD925" t="s">
        <v>74</v>
      </c>
      <c r="BE925" t="s">
        <v>12272</v>
      </c>
      <c r="BF925" t="str">
        <f>HYPERLINK("http://dx.doi.org/10.1074/jbc.M007902200","http://dx.doi.org/10.1074/jbc.M007902200")</f>
        <v>http://dx.doi.org/10.1074/jbc.M007902200</v>
      </c>
      <c r="BG925" t="s">
        <v>74</v>
      </c>
      <c r="BH925" t="s">
        <v>74</v>
      </c>
      <c r="BI925">
        <v>7</v>
      </c>
      <c r="BJ925" t="s">
        <v>2248</v>
      </c>
      <c r="BK925" t="s">
        <v>88</v>
      </c>
      <c r="BL925" t="s">
        <v>2248</v>
      </c>
      <c r="BM925" t="s">
        <v>12273</v>
      </c>
      <c r="BN925">
        <v>11010977</v>
      </c>
      <c r="BO925" t="s">
        <v>359</v>
      </c>
      <c r="BP925" t="s">
        <v>74</v>
      </c>
      <c r="BQ925" t="s">
        <v>74</v>
      </c>
      <c r="BR925" t="s">
        <v>91</v>
      </c>
      <c r="BS925" t="s">
        <v>12274</v>
      </c>
      <c r="BT925" t="str">
        <f>HYPERLINK("https%3A%2F%2Fwww.webofscience.com%2Fwos%2Fwoscc%2Ffull-record%2FWOS:000166430900061","View Full Record in Web of Science")</f>
        <v>View Full Record in Web of Science</v>
      </c>
    </row>
    <row r="926" spans="1:72" x14ac:dyDescent="0.15">
      <c r="A926" t="s">
        <v>72</v>
      </c>
      <c r="B926" t="s">
        <v>12275</v>
      </c>
      <c r="C926" t="s">
        <v>74</v>
      </c>
      <c r="D926" t="s">
        <v>74</v>
      </c>
      <c r="E926" t="s">
        <v>74</v>
      </c>
      <c r="F926" t="s">
        <v>12275</v>
      </c>
      <c r="G926" t="s">
        <v>74</v>
      </c>
      <c r="H926" t="s">
        <v>74</v>
      </c>
      <c r="I926" t="s">
        <v>12276</v>
      </c>
      <c r="J926" t="s">
        <v>1867</v>
      </c>
      <c r="K926" t="s">
        <v>74</v>
      </c>
      <c r="L926" t="s">
        <v>74</v>
      </c>
      <c r="M926" t="s">
        <v>77</v>
      </c>
      <c r="N926" t="s">
        <v>120</v>
      </c>
      <c r="O926" t="s">
        <v>74</v>
      </c>
      <c r="P926" t="s">
        <v>74</v>
      </c>
      <c r="Q926" t="s">
        <v>74</v>
      </c>
      <c r="R926" t="s">
        <v>74</v>
      </c>
      <c r="S926" t="s">
        <v>74</v>
      </c>
      <c r="T926" t="s">
        <v>74</v>
      </c>
      <c r="U926" t="s">
        <v>12277</v>
      </c>
      <c r="V926" t="s">
        <v>12278</v>
      </c>
      <c r="W926" t="s">
        <v>12279</v>
      </c>
      <c r="X926" t="s">
        <v>12280</v>
      </c>
      <c r="Y926" t="s">
        <v>12281</v>
      </c>
      <c r="Z926" t="s">
        <v>12282</v>
      </c>
      <c r="AA926" t="s">
        <v>12283</v>
      </c>
      <c r="AB926" t="s">
        <v>12284</v>
      </c>
      <c r="AC926" t="s">
        <v>74</v>
      </c>
      <c r="AD926" t="s">
        <v>74</v>
      </c>
      <c r="AE926" t="s">
        <v>74</v>
      </c>
      <c r="AF926" t="s">
        <v>74</v>
      </c>
      <c r="AG926">
        <v>33</v>
      </c>
      <c r="AH926">
        <v>827</v>
      </c>
      <c r="AI926">
        <v>951</v>
      </c>
      <c r="AJ926">
        <v>3</v>
      </c>
      <c r="AK926">
        <v>209</v>
      </c>
      <c r="AL926" t="s">
        <v>1872</v>
      </c>
      <c r="AM926" t="s">
        <v>150</v>
      </c>
      <c r="AN926" t="s">
        <v>1873</v>
      </c>
      <c r="AO926" t="s">
        <v>1874</v>
      </c>
      <c r="AP926" t="s">
        <v>3175</v>
      </c>
      <c r="AQ926" t="s">
        <v>74</v>
      </c>
      <c r="AR926" t="s">
        <v>1867</v>
      </c>
      <c r="AS926" t="s">
        <v>1875</v>
      </c>
      <c r="AT926" t="s">
        <v>12285</v>
      </c>
      <c r="AU926">
        <v>2001</v>
      </c>
      <c r="AV926">
        <v>291</v>
      </c>
      <c r="AW926">
        <v>5501</v>
      </c>
      <c r="AX926" t="s">
        <v>74</v>
      </c>
      <c r="AY926" t="s">
        <v>74</v>
      </c>
      <c r="AZ926" t="s">
        <v>74</v>
      </c>
      <c r="BA926" t="s">
        <v>74</v>
      </c>
      <c r="BB926">
        <v>109</v>
      </c>
      <c r="BC926">
        <v>112</v>
      </c>
      <c r="BD926" t="s">
        <v>74</v>
      </c>
      <c r="BE926" t="s">
        <v>12286</v>
      </c>
      <c r="BF926" t="str">
        <f>HYPERLINK("http://dx.doi.org/10.1126/science.291.5501.109","http://dx.doi.org/10.1126/science.291.5501.109")</f>
        <v>http://dx.doi.org/10.1126/science.291.5501.109</v>
      </c>
      <c r="BG926" t="s">
        <v>74</v>
      </c>
      <c r="BH926" t="s">
        <v>74</v>
      </c>
      <c r="BI926">
        <v>4</v>
      </c>
      <c r="BJ926" t="s">
        <v>575</v>
      </c>
      <c r="BK926" t="s">
        <v>88</v>
      </c>
      <c r="BL926" t="s">
        <v>576</v>
      </c>
      <c r="BM926" t="s">
        <v>12287</v>
      </c>
      <c r="BN926">
        <v>11141558</v>
      </c>
      <c r="BO926" t="s">
        <v>74</v>
      </c>
      <c r="BP926" t="s">
        <v>74</v>
      </c>
      <c r="BQ926" t="s">
        <v>74</v>
      </c>
      <c r="BR926" t="s">
        <v>91</v>
      </c>
      <c r="BS926" t="s">
        <v>12288</v>
      </c>
      <c r="BT926" t="str">
        <f>HYPERLINK("https%3A%2F%2Fwww.webofscience.com%2Fwos%2Fwoscc%2Ffull-record%2FWOS:000166259100044","View Full Record in Web of Science")</f>
        <v>View Full Record in Web of Science</v>
      </c>
    </row>
    <row r="927" spans="1:72" x14ac:dyDescent="0.15">
      <c r="A927" t="s">
        <v>72</v>
      </c>
      <c r="B927" t="s">
        <v>12289</v>
      </c>
      <c r="C927" t="s">
        <v>74</v>
      </c>
      <c r="D927" t="s">
        <v>74</v>
      </c>
      <c r="E927" t="s">
        <v>74</v>
      </c>
      <c r="F927" t="s">
        <v>12289</v>
      </c>
      <c r="G927" t="s">
        <v>74</v>
      </c>
      <c r="H927" t="s">
        <v>74</v>
      </c>
      <c r="I927" t="s">
        <v>12290</v>
      </c>
      <c r="J927" t="s">
        <v>1867</v>
      </c>
      <c r="K927" t="s">
        <v>74</v>
      </c>
      <c r="L927" t="s">
        <v>74</v>
      </c>
      <c r="M927" t="s">
        <v>77</v>
      </c>
      <c r="N927" t="s">
        <v>120</v>
      </c>
      <c r="O927" t="s">
        <v>74</v>
      </c>
      <c r="P927" t="s">
        <v>74</v>
      </c>
      <c r="Q927" t="s">
        <v>74</v>
      </c>
      <c r="R927" t="s">
        <v>74</v>
      </c>
      <c r="S927" t="s">
        <v>74</v>
      </c>
      <c r="T927" t="s">
        <v>74</v>
      </c>
      <c r="U927" t="s">
        <v>12291</v>
      </c>
      <c r="V927" t="s">
        <v>12292</v>
      </c>
      <c r="W927" t="s">
        <v>12293</v>
      </c>
      <c r="X927" t="s">
        <v>12294</v>
      </c>
      <c r="Y927" t="s">
        <v>12295</v>
      </c>
      <c r="Z927" t="s">
        <v>74</v>
      </c>
      <c r="AA927" t="s">
        <v>12296</v>
      </c>
      <c r="AB927" t="s">
        <v>74</v>
      </c>
      <c r="AC927" t="s">
        <v>74</v>
      </c>
      <c r="AD927" t="s">
        <v>74</v>
      </c>
      <c r="AE927" t="s">
        <v>74</v>
      </c>
      <c r="AF927" t="s">
        <v>74</v>
      </c>
      <c r="AG927">
        <v>27</v>
      </c>
      <c r="AH927">
        <v>909</v>
      </c>
      <c r="AI927">
        <v>1032</v>
      </c>
      <c r="AJ927">
        <v>6</v>
      </c>
      <c r="AK927">
        <v>268</v>
      </c>
      <c r="AL927" t="s">
        <v>1872</v>
      </c>
      <c r="AM927" t="s">
        <v>150</v>
      </c>
      <c r="AN927" t="s">
        <v>1873</v>
      </c>
      <c r="AO927" t="s">
        <v>1874</v>
      </c>
      <c r="AP927" t="s">
        <v>74</v>
      </c>
      <c r="AQ927" t="s">
        <v>74</v>
      </c>
      <c r="AR927" t="s">
        <v>1867</v>
      </c>
      <c r="AS927" t="s">
        <v>1875</v>
      </c>
      <c r="AT927" t="s">
        <v>12285</v>
      </c>
      <c r="AU927">
        <v>2001</v>
      </c>
      <c r="AV927">
        <v>291</v>
      </c>
      <c r="AW927">
        <v>5501</v>
      </c>
      <c r="AX927" t="s">
        <v>74</v>
      </c>
      <c r="AY927" t="s">
        <v>74</v>
      </c>
      <c r="AZ927" t="s">
        <v>74</v>
      </c>
      <c r="BA927" t="s">
        <v>74</v>
      </c>
      <c r="BB927">
        <v>112</v>
      </c>
      <c r="BC927">
        <v>114</v>
      </c>
      <c r="BD927" t="s">
        <v>74</v>
      </c>
      <c r="BE927" t="s">
        <v>12297</v>
      </c>
      <c r="BF927" t="str">
        <f>HYPERLINK("http://dx.doi.org/10.1126/science.291.5501.112","http://dx.doi.org/10.1126/science.291.5501.112")</f>
        <v>http://dx.doi.org/10.1126/science.291.5501.112</v>
      </c>
      <c r="BG927" t="s">
        <v>74</v>
      </c>
      <c r="BH927" t="s">
        <v>74</v>
      </c>
      <c r="BI927">
        <v>3</v>
      </c>
      <c r="BJ927" t="s">
        <v>575</v>
      </c>
      <c r="BK927" t="s">
        <v>88</v>
      </c>
      <c r="BL927" t="s">
        <v>576</v>
      </c>
      <c r="BM927" t="s">
        <v>12287</v>
      </c>
      <c r="BN927">
        <v>11141559</v>
      </c>
      <c r="BO927" t="s">
        <v>74</v>
      </c>
      <c r="BP927" t="s">
        <v>74</v>
      </c>
      <c r="BQ927" t="s">
        <v>74</v>
      </c>
      <c r="BR927" t="s">
        <v>91</v>
      </c>
      <c r="BS927" t="s">
        <v>12298</v>
      </c>
      <c r="BT927" t="str">
        <f>HYPERLINK("https%3A%2F%2Fwww.webofscience.com%2Fwos%2Fwoscc%2Ffull-record%2FWOS:000166259100045","View Full Record in Web of Science")</f>
        <v>View Full Record in Web of Science</v>
      </c>
    </row>
    <row r="928" spans="1:72" x14ac:dyDescent="0.15">
      <c r="A928" t="s">
        <v>72</v>
      </c>
      <c r="B928" t="s">
        <v>12299</v>
      </c>
      <c r="C928" t="s">
        <v>74</v>
      </c>
      <c r="D928" t="s">
        <v>74</v>
      </c>
      <c r="E928" t="s">
        <v>74</v>
      </c>
      <c r="F928" t="s">
        <v>12299</v>
      </c>
      <c r="G928" t="s">
        <v>74</v>
      </c>
      <c r="H928" t="s">
        <v>74</v>
      </c>
      <c r="I928" t="s">
        <v>12300</v>
      </c>
      <c r="J928" t="s">
        <v>12301</v>
      </c>
      <c r="K928" t="s">
        <v>74</v>
      </c>
      <c r="L928" t="s">
        <v>74</v>
      </c>
      <c r="M928" t="s">
        <v>77</v>
      </c>
      <c r="N928" t="s">
        <v>120</v>
      </c>
      <c r="O928" t="s">
        <v>74</v>
      </c>
      <c r="P928" t="s">
        <v>74</v>
      </c>
      <c r="Q928" t="s">
        <v>74</v>
      </c>
      <c r="R928" t="s">
        <v>74</v>
      </c>
      <c r="S928" t="s">
        <v>74</v>
      </c>
      <c r="T928" t="s">
        <v>74</v>
      </c>
      <c r="U928" t="s">
        <v>12302</v>
      </c>
      <c r="V928" t="s">
        <v>12303</v>
      </c>
      <c r="W928" t="s">
        <v>12304</v>
      </c>
      <c r="X928" t="s">
        <v>12305</v>
      </c>
      <c r="Y928" t="s">
        <v>12306</v>
      </c>
      <c r="Z928" t="s">
        <v>74</v>
      </c>
      <c r="AA928" t="s">
        <v>12307</v>
      </c>
      <c r="AB928" t="s">
        <v>12308</v>
      </c>
      <c r="AC928" t="s">
        <v>74</v>
      </c>
      <c r="AD928" t="s">
        <v>74</v>
      </c>
      <c r="AE928" t="s">
        <v>74</v>
      </c>
      <c r="AF928" t="s">
        <v>74</v>
      </c>
      <c r="AG928">
        <v>53</v>
      </c>
      <c r="AH928">
        <v>49</v>
      </c>
      <c r="AI928">
        <v>52</v>
      </c>
      <c r="AJ928">
        <v>0</v>
      </c>
      <c r="AK928">
        <v>20</v>
      </c>
      <c r="AL928" t="s">
        <v>79</v>
      </c>
      <c r="AM928" t="s">
        <v>80</v>
      </c>
      <c r="AN928" t="s">
        <v>81</v>
      </c>
      <c r="AO928" t="s">
        <v>12309</v>
      </c>
      <c r="AP928" t="s">
        <v>12310</v>
      </c>
      <c r="AQ928" t="s">
        <v>74</v>
      </c>
      <c r="AR928" t="s">
        <v>12311</v>
      </c>
      <c r="AS928" t="s">
        <v>12312</v>
      </c>
      <c r="AT928" t="s">
        <v>74</v>
      </c>
      <c r="AU928">
        <v>2001</v>
      </c>
      <c r="AV928">
        <v>49</v>
      </c>
      <c r="AW928" t="s">
        <v>2229</v>
      </c>
      <c r="AX928" t="s">
        <v>74</v>
      </c>
      <c r="AY928" t="s">
        <v>74</v>
      </c>
      <c r="AZ928" t="s">
        <v>74</v>
      </c>
      <c r="BA928" t="s">
        <v>74</v>
      </c>
      <c r="BB928">
        <v>21</v>
      </c>
      <c r="BC928">
        <v>58</v>
      </c>
      <c r="BD928" t="s">
        <v>74</v>
      </c>
      <c r="BE928" t="s">
        <v>12313</v>
      </c>
      <c r="BF928" t="str">
        <f>HYPERLINK("http://dx.doi.org/10.1016/S0967-0645(01)00093-5","http://dx.doi.org/10.1016/S0967-0645(01)00093-5")</f>
        <v>http://dx.doi.org/10.1016/S0967-0645(01)00093-5</v>
      </c>
      <c r="BG928" t="s">
        <v>74</v>
      </c>
      <c r="BH928" t="s">
        <v>74</v>
      </c>
      <c r="BI928">
        <v>38</v>
      </c>
      <c r="BJ928" t="s">
        <v>668</v>
      </c>
      <c r="BK928" t="s">
        <v>88</v>
      </c>
      <c r="BL928" t="s">
        <v>668</v>
      </c>
      <c r="BM928" t="s">
        <v>12314</v>
      </c>
      <c r="BN928" t="s">
        <v>74</v>
      </c>
      <c r="BO928" t="s">
        <v>74</v>
      </c>
      <c r="BP928" t="s">
        <v>74</v>
      </c>
      <c r="BQ928" t="s">
        <v>74</v>
      </c>
      <c r="BR928" t="s">
        <v>91</v>
      </c>
      <c r="BS928" t="s">
        <v>12315</v>
      </c>
      <c r="BT928" t="str">
        <f>HYPERLINK("https%3A%2F%2Fwww.webofscience.com%2Fwos%2Fwoscc%2Ffull-record%2FWOS:000173008600002","View Full Record in Web of Science")</f>
        <v>View Full Record in Web of Science</v>
      </c>
    </row>
    <row r="929" spans="1:72" x14ac:dyDescent="0.15">
      <c r="A929" t="s">
        <v>72</v>
      </c>
      <c r="B929" t="s">
        <v>12316</v>
      </c>
      <c r="C929" t="s">
        <v>74</v>
      </c>
      <c r="D929" t="s">
        <v>74</v>
      </c>
      <c r="E929" t="s">
        <v>74</v>
      </c>
      <c r="F929" t="s">
        <v>12316</v>
      </c>
      <c r="G929" t="s">
        <v>74</v>
      </c>
      <c r="H929" t="s">
        <v>74</v>
      </c>
      <c r="I929" t="s">
        <v>12317</v>
      </c>
      <c r="J929" t="s">
        <v>12301</v>
      </c>
      <c r="K929" t="s">
        <v>74</v>
      </c>
      <c r="L929" t="s">
        <v>74</v>
      </c>
      <c r="M929" t="s">
        <v>77</v>
      </c>
      <c r="N929" t="s">
        <v>120</v>
      </c>
      <c r="O929" t="s">
        <v>74</v>
      </c>
      <c r="P929" t="s">
        <v>74</v>
      </c>
      <c r="Q929" t="s">
        <v>74</v>
      </c>
      <c r="R929" t="s">
        <v>74</v>
      </c>
      <c r="S929" t="s">
        <v>74</v>
      </c>
      <c r="T929" t="s">
        <v>74</v>
      </c>
      <c r="U929" t="s">
        <v>12318</v>
      </c>
      <c r="V929" t="s">
        <v>12319</v>
      </c>
      <c r="W929" t="s">
        <v>12320</v>
      </c>
      <c r="X929" t="s">
        <v>12321</v>
      </c>
      <c r="Y929" t="s">
        <v>12322</v>
      </c>
      <c r="Z929" t="s">
        <v>12323</v>
      </c>
      <c r="AA929" t="s">
        <v>12324</v>
      </c>
      <c r="AB929" t="s">
        <v>12325</v>
      </c>
      <c r="AC929" t="s">
        <v>74</v>
      </c>
      <c r="AD929" t="s">
        <v>74</v>
      </c>
      <c r="AE929" t="s">
        <v>74</v>
      </c>
      <c r="AF929" t="s">
        <v>74</v>
      </c>
      <c r="AG929">
        <v>72</v>
      </c>
      <c r="AH929">
        <v>102</v>
      </c>
      <c r="AI929">
        <v>111</v>
      </c>
      <c r="AJ929">
        <v>0</v>
      </c>
      <c r="AK929">
        <v>24</v>
      </c>
      <c r="AL929" t="s">
        <v>79</v>
      </c>
      <c r="AM929" t="s">
        <v>80</v>
      </c>
      <c r="AN929" t="s">
        <v>81</v>
      </c>
      <c r="AO929" t="s">
        <v>12309</v>
      </c>
      <c r="AP929" t="s">
        <v>12310</v>
      </c>
      <c r="AQ929" t="s">
        <v>74</v>
      </c>
      <c r="AR929" t="s">
        <v>12311</v>
      </c>
      <c r="AS929" t="s">
        <v>12312</v>
      </c>
      <c r="AT929" t="s">
        <v>74</v>
      </c>
      <c r="AU929">
        <v>2001</v>
      </c>
      <c r="AV929">
        <v>49</v>
      </c>
      <c r="AW929" t="s">
        <v>2229</v>
      </c>
      <c r="AX929" t="s">
        <v>74</v>
      </c>
      <c r="AY929" t="s">
        <v>74</v>
      </c>
      <c r="AZ929" t="s">
        <v>74</v>
      </c>
      <c r="BA929" t="s">
        <v>74</v>
      </c>
      <c r="BB929">
        <v>363</v>
      </c>
      <c r="BC929">
        <v>401</v>
      </c>
      <c r="BD929" t="s">
        <v>74</v>
      </c>
      <c r="BE929" t="s">
        <v>74</v>
      </c>
      <c r="BF929" t="s">
        <v>74</v>
      </c>
      <c r="BG929" t="s">
        <v>74</v>
      </c>
      <c r="BH929" t="s">
        <v>74</v>
      </c>
      <c r="BI929">
        <v>39</v>
      </c>
      <c r="BJ929" t="s">
        <v>668</v>
      </c>
      <c r="BK929" t="s">
        <v>88</v>
      </c>
      <c r="BL929" t="s">
        <v>668</v>
      </c>
      <c r="BM929" t="s">
        <v>12314</v>
      </c>
      <c r="BN929" t="s">
        <v>74</v>
      </c>
      <c r="BO929" t="s">
        <v>74</v>
      </c>
      <c r="BP929" t="s">
        <v>74</v>
      </c>
      <c r="BQ929" t="s">
        <v>74</v>
      </c>
      <c r="BR929" t="s">
        <v>91</v>
      </c>
      <c r="BS929" t="s">
        <v>12326</v>
      </c>
      <c r="BT929" t="str">
        <f>HYPERLINK("https%3A%2F%2Fwww.webofscience.com%2Fwos%2Fwoscc%2Ffull-record%2FWOS:000173008600016","View Full Record in Web of Science")</f>
        <v>View Full Record in Web of Science</v>
      </c>
    </row>
    <row r="930" spans="1:72" x14ac:dyDescent="0.15">
      <c r="A930" t="s">
        <v>12327</v>
      </c>
      <c r="B930" t="s">
        <v>12328</v>
      </c>
      <c r="C930" t="s">
        <v>74</v>
      </c>
      <c r="D930" t="s">
        <v>12329</v>
      </c>
      <c r="E930" t="s">
        <v>74</v>
      </c>
      <c r="F930" t="s">
        <v>12328</v>
      </c>
      <c r="G930" t="s">
        <v>74</v>
      </c>
      <c r="H930" t="s">
        <v>74</v>
      </c>
      <c r="I930" t="s">
        <v>12330</v>
      </c>
      <c r="J930" t="s">
        <v>12331</v>
      </c>
      <c r="K930" t="s">
        <v>12332</v>
      </c>
      <c r="L930" t="s">
        <v>74</v>
      </c>
      <c r="M930" t="s">
        <v>77</v>
      </c>
      <c r="N930" t="s">
        <v>12333</v>
      </c>
      <c r="O930" t="s">
        <v>12334</v>
      </c>
      <c r="P930" t="s">
        <v>5552</v>
      </c>
      <c r="Q930" t="s">
        <v>12335</v>
      </c>
      <c r="R930" t="s">
        <v>74</v>
      </c>
      <c r="S930" t="s">
        <v>12336</v>
      </c>
      <c r="T930" t="s">
        <v>74</v>
      </c>
      <c r="U930" t="s">
        <v>74</v>
      </c>
      <c r="V930" t="s">
        <v>12337</v>
      </c>
      <c r="W930" t="s">
        <v>12338</v>
      </c>
      <c r="X930" t="s">
        <v>12339</v>
      </c>
      <c r="Y930" t="s">
        <v>12340</v>
      </c>
      <c r="Z930" t="s">
        <v>74</v>
      </c>
      <c r="AA930" t="s">
        <v>74</v>
      </c>
      <c r="AB930" t="s">
        <v>74</v>
      </c>
      <c r="AC930" t="s">
        <v>74</v>
      </c>
      <c r="AD930" t="s">
        <v>74</v>
      </c>
      <c r="AE930" t="s">
        <v>74</v>
      </c>
      <c r="AF930" t="s">
        <v>74</v>
      </c>
      <c r="AG930">
        <v>7</v>
      </c>
      <c r="AH930">
        <v>0</v>
      </c>
      <c r="AI930">
        <v>0</v>
      </c>
      <c r="AJ930">
        <v>0</v>
      </c>
      <c r="AK930">
        <v>1</v>
      </c>
      <c r="AL930" t="s">
        <v>12341</v>
      </c>
      <c r="AM930" t="s">
        <v>2984</v>
      </c>
      <c r="AN930" t="s">
        <v>12342</v>
      </c>
      <c r="AO930" t="s">
        <v>74</v>
      </c>
      <c r="AP930" t="s">
        <v>74</v>
      </c>
      <c r="AQ930" t="s">
        <v>12343</v>
      </c>
      <c r="AR930" t="s">
        <v>12344</v>
      </c>
      <c r="AS930" t="s">
        <v>74</v>
      </c>
      <c r="AT930" t="s">
        <v>74</v>
      </c>
      <c r="AU930">
        <v>2001</v>
      </c>
      <c r="AV930">
        <v>226</v>
      </c>
      <c r="AW930" t="s">
        <v>74</v>
      </c>
      <c r="AX930" t="s">
        <v>74</v>
      </c>
      <c r="AY930" t="s">
        <v>74</v>
      </c>
      <c r="AZ930" t="s">
        <v>74</v>
      </c>
      <c r="BA930" t="s">
        <v>74</v>
      </c>
      <c r="BB930">
        <v>347</v>
      </c>
      <c r="BC930">
        <v>352</v>
      </c>
      <c r="BD930" t="s">
        <v>74</v>
      </c>
      <c r="BE930" t="s">
        <v>74</v>
      </c>
      <c r="BF930" t="s">
        <v>74</v>
      </c>
      <c r="BG930" t="s">
        <v>74</v>
      </c>
      <c r="BH930" t="s">
        <v>74</v>
      </c>
      <c r="BI930">
        <v>6</v>
      </c>
      <c r="BJ930" t="s">
        <v>1139</v>
      </c>
      <c r="BK930" t="s">
        <v>12345</v>
      </c>
      <c r="BL930" t="s">
        <v>1139</v>
      </c>
      <c r="BM930" t="s">
        <v>12346</v>
      </c>
      <c r="BN930" t="s">
        <v>74</v>
      </c>
      <c r="BO930" t="s">
        <v>74</v>
      </c>
      <c r="BP930" t="s">
        <v>74</v>
      </c>
      <c r="BQ930" t="s">
        <v>74</v>
      </c>
      <c r="BR930" t="s">
        <v>91</v>
      </c>
      <c r="BS930" t="s">
        <v>12347</v>
      </c>
      <c r="BT930" t="str">
        <f>HYPERLINK("https%3A%2F%2Fwww.webofscience.com%2Fwos%2Fwoscc%2Ffull-record%2FWOS:000170040900060","View Full Record in Web of Science")</f>
        <v>View Full Record in Web of Science</v>
      </c>
    </row>
    <row r="931" spans="1:72" x14ac:dyDescent="0.15">
      <c r="A931" t="s">
        <v>12327</v>
      </c>
      <c r="B931" t="s">
        <v>12348</v>
      </c>
      <c r="C931" t="s">
        <v>74</v>
      </c>
      <c r="D931" t="s">
        <v>74</v>
      </c>
      <c r="E931" t="s">
        <v>12349</v>
      </c>
      <c r="F931" t="s">
        <v>12348</v>
      </c>
      <c r="G931" t="s">
        <v>74</v>
      </c>
      <c r="H931" t="s">
        <v>74</v>
      </c>
      <c r="I931" t="s">
        <v>12350</v>
      </c>
      <c r="J931" t="s">
        <v>12351</v>
      </c>
      <c r="K931" t="s">
        <v>74</v>
      </c>
      <c r="L931" t="s">
        <v>74</v>
      </c>
      <c r="M931" t="s">
        <v>77</v>
      </c>
      <c r="N931" t="s">
        <v>12333</v>
      </c>
      <c r="O931" t="s">
        <v>12352</v>
      </c>
      <c r="P931" t="s">
        <v>12353</v>
      </c>
      <c r="Q931" t="s">
        <v>12354</v>
      </c>
      <c r="R931" t="s">
        <v>74</v>
      </c>
      <c r="S931" t="s">
        <v>74</v>
      </c>
      <c r="T931" t="s">
        <v>74</v>
      </c>
      <c r="U931" t="s">
        <v>74</v>
      </c>
      <c r="V931" t="s">
        <v>74</v>
      </c>
      <c r="W931" t="s">
        <v>1103</v>
      </c>
      <c r="X931" t="s">
        <v>462</v>
      </c>
      <c r="Y931" t="s">
        <v>12355</v>
      </c>
      <c r="Z931" t="s">
        <v>74</v>
      </c>
      <c r="AA931" t="s">
        <v>74</v>
      </c>
      <c r="AB931" t="s">
        <v>74</v>
      </c>
      <c r="AC931" t="s">
        <v>74</v>
      </c>
      <c r="AD931" t="s">
        <v>74</v>
      </c>
      <c r="AE931" t="s">
        <v>74</v>
      </c>
      <c r="AF931" t="s">
        <v>74</v>
      </c>
      <c r="AG931">
        <v>2</v>
      </c>
      <c r="AH931">
        <v>0</v>
      </c>
      <c r="AI931">
        <v>0</v>
      </c>
      <c r="AJ931">
        <v>0</v>
      </c>
      <c r="AK931">
        <v>0</v>
      </c>
      <c r="AL931" t="s">
        <v>12356</v>
      </c>
      <c r="AM931" t="s">
        <v>3915</v>
      </c>
      <c r="AN931" t="s">
        <v>12357</v>
      </c>
      <c r="AO931" t="s">
        <v>74</v>
      </c>
      <c r="AP931" t="s">
        <v>74</v>
      </c>
      <c r="AQ931" t="s">
        <v>74</v>
      </c>
      <c r="AR931" t="s">
        <v>74</v>
      </c>
      <c r="AS931" t="s">
        <v>74</v>
      </c>
      <c r="AT931" t="s">
        <v>74</v>
      </c>
      <c r="AU931">
        <v>2001</v>
      </c>
      <c r="AV931" t="s">
        <v>74</v>
      </c>
      <c r="AW931" t="s">
        <v>74</v>
      </c>
      <c r="AX931" t="s">
        <v>74</v>
      </c>
      <c r="AY931" t="s">
        <v>74</v>
      </c>
      <c r="AZ931" t="s">
        <v>74</v>
      </c>
      <c r="BA931" t="s">
        <v>74</v>
      </c>
      <c r="BB931">
        <v>74</v>
      </c>
      <c r="BC931">
        <v>75</v>
      </c>
      <c r="BD931" t="s">
        <v>74</v>
      </c>
      <c r="BE931" t="s">
        <v>74</v>
      </c>
      <c r="BF931" t="s">
        <v>74</v>
      </c>
      <c r="BG931" t="s">
        <v>74</v>
      </c>
      <c r="BH931" t="s">
        <v>74</v>
      </c>
      <c r="BI931">
        <v>2</v>
      </c>
      <c r="BJ931" t="s">
        <v>538</v>
      </c>
      <c r="BK931" t="s">
        <v>12345</v>
      </c>
      <c r="BL931" t="s">
        <v>538</v>
      </c>
      <c r="BM931" t="s">
        <v>12358</v>
      </c>
      <c r="BN931" t="s">
        <v>74</v>
      </c>
      <c r="BO931" t="s">
        <v>74</v>
      </c>
      <c r="BP931" t="s">
        <v>74</v>
      </c>
      <c r="BQ931" t="s">
        <v>74</v>
      </c>
      <c r="BR931" t="s">
        <v>91</v>
      </c>
      <c r="BS931" t="s">
        <v>12359</v>
      </c>
      <c r="BT931" t="str">
        <f>HYPERLINK("https%3A%2F%2Fwww.webofscience.com%2Fwos%2Fwoscc%2Ffull-record%2FWOS:000177601900023","View Full Record in Web of Science")</f>
        <v>View Full Record in Web of Science</v>
      </c>
    </row>
    <row r="932" spans="1:72" x14ac:dyDescent="0.15">
      <c r="A932" t="s">
        <v>12327</v>
      </c>
      <c r="B932" t="s">
        <v>2392</v>
      </c>
      <c r="C932" t="s">
        <v>74</v>
      </c>
      <c r="D932" t="s">
        <v>74</v>
      </c>
      <c r="E932" t="s">
        <v>12349</v>
      </c>
      <c r="F932" t="s">
        <v>2392</v>
      </c>
      <c r="G932" t="s">
        <v>74</v>
      </c>
      <c r="H932" t="s">
        <v>74</v>
      </c>
      <c r="I932" t="s">
        <v>12360</v>
      </c>
      <c r="J932" t="s">
        <v>12351</v>
      </c>
      <c r="K932" t="s">
        <v>74</v>
      </c>
      <c r="L932" t="s">
        <v>74</v>
      </c>
      <c r="M932" t="s">
        <v>77</v>
      </c>
      <c r="N932" t="s">
        <v>12333</v>
      </c>
      <c r="O932" t="s">
        <v>12352</v>
      </c>
      <c r="P932" t="s">
        <v>12353</v>
      </c>
      <c r="Q932" t="s">
        <v>12354</v>
      </c>
      <c r="R932" t="s">
        <v>74</v>
      </c>
      <c r="S932" t="s">
        <v>74</v>
      </c>
      <c r="T932" t="s">
        <v>74</v>
      </c>
      <c r="U932" t="s">
        <v>12361</v>
      </c>
      <c r="V932" t="s">
        <v>12362</v>
      </c>
      <c r="W932" t="s">
        <v>12363</v>
      </c>
      <c r="X932" t="s">
        <v>2397</v>
      </c>
      <c r="Y932" t="s">
        <v>12364</v>
      </c>
      <c r="Z932" t="s">
        <v>74</v>
      </c>
      <c r="AA932" t="s">
        <v>74</v>
      </c>
      <c r="AB932" t="s">
        <v>74</v>
      </c>
      <c r="AC932" t="s">
        <v>74</v>
      </c>
      <c r="AD932" t="s">
        <v>74</v>
      </c>
      <c r="AE932" t="s">
        <v>74</v>
      </c>
      <c r="AF932" t="s">
        <v>74</v>
      </c>
      <c r="AG932">
        <v>15</v>
      </c>
      <c r="AH932">
        <v>0</v>
      </c>
      <c r="AI932">
        <v>0</v>
      </c>
      <c r="AJ932">
        <v>0</v>
      </c>
      <c r="AK932">
        <v>1</v>
      </c>
      <c r="AL932" t="s">
        <v>12356</v>
      </c>
      <c r="AM932" t="s">
        <v>3915</v>
      </c>
      <c r="AN932" t="s">
        <v>12357</v>
      </c>
      <c r="AO932" t="s">
        <v>74</v>
      </c>
      <c r="AP932" t="s">
        <v>74</v>
      </c>
      <c r="AQ932" t="s">
        <v>74</v>
      </c>
      <c r="AR932" t="s">
        <v>74</v>
      </c>
      <c r="AS932" t="s">
        <v>74</v>
      </c>
      <c r="AT932" t="s">
        <v>74</v>
      </c>
      <c r="AU932">
        <v>2001</v>
      </c>
      <c r="AV932" t="s">
        <v>74</v>
      </c>
      <c r="AW932" t="s">
        <v>74</v>
      </c>
      <c r="AX932" t="s">
        <v>74</v>
      </c>
      <c r="AY932" t="s">
        <v>74</v>
      </c>
      <c r="AZ932" t="s">
        <v>74</v>
      </c>
      <c r="BA932" t="s">
        <v>74</v>
      </c>
      <c r="BB932">
        <v>301</v>
      </c>
      <c r="BC932">
        <v>304</v>
      </c>
      <c r="BD932" t="s">
        <v>74</v>
      </c>
      <c r="BE932" t="s">
        <v>74</v>
      </c>
      <c r="BF932" t="s">
        <v>74</v>
      </c>
      <c r="BG932" t="s">
        <v>74</v>
      </c>
      <c r="BH932" t="s">
        <v>74</v>
      </c>
      <c r="BI932">
        <v>4</v>
      </c>
      <c r="BJ932" t="s">
        <v>538</v>
      </c>
      <c r="BK932" t="s">
        <v>12345</v>
      </c>
      <c r="BL932" t="s">
        <v>538</v>
      </c>
      <c r="BM932" t="s">
        <v>12358</v>
      </c>
      <c r="BN932" t="s">
        <v>74</v>
      </c>
      <c r="BO932" t="s">
        <v>74</v>
      </c>
      <c r="BP932" t="s">
        <v>74</v>
      </c>
      <c r="BQ932" t="s">
        <v>74</v>
      </c>
      <c r="BR932" t="s">
        <v>91</v>
      </c>
      <c r="BS932" t="s">
        <v>12365</v>
      </c>
      <c r="BT932" t="str">
        <f>HYPERLINK("https%3A%2F%2Fwww.webofscience.com%2Fwos%2Fwoscc%2Ffull-record%2FWOS:000177601900092","View Full Record in Web of Science")</f>
        <v>View Full Record in Web of Science</v>
      </c>
    </row>
    <row r="933" spans="1:72" x14ac:dyDescent="0.15">
      <c r="A933" t="s">
        <v>12327</v>
      </c>
      <c r="B933" t="s">
        <v>2973</v>
      </c>
      <c r="C933" t="s">
        <v>74</v>
      </c>
      <c r="D933" t="s">
        <v>12366</v>
      </c>
      <c r="E933" t="s">
        <v>74</v>
      </c>
      <c r="F933" t="s">
        <v>2973</v>
      </c>
      <c r="G933" t="s">
        <v>74</v>
      </c>
      <c r="H933" t="s">
        <v>74</v>
      </c>
      <c r="I933" t="s">
        <v>12367</v>
      </c>
      <c r="J933" t="s">
        <v>12368</v>
      </c>
      <c r="K933" t="s">
        <v>12369</v>
      </c>
      <c r="L933" t="s">
        <v>74</v>
      </c>
      <c r="M933" t="s">
        <v>77</v>
      </c>
      <c r="N933" t="s">
        <v>12333</v>
      </c>
      <c r="O933" t="s">
        <v>12370</v>
      </c>
      <c r="P933" t="s">
        <v>12371</v>
      </c>
      <c r="Q933" t="s">
        <v>12372</v>
      </c>
      <c r="R933" t="s">
        <v>74</v>
      </c>
      <c r="S933" t="s">
        <v>74</v>
      </c>
      <c r="T933" t="s">
        <v>74</v>
      </c>
      <c r="U933" t="s">
        <v>12373</v>
      </c>
      <c r="V933" t="s">
        <v>12374</v>
      </c>
      <c r="W933" t="s">
        <v>1103</v>
      </c>
      <c r="X933" t="s">
        <v>462</v>
      </c>
      <c r="Y933" t="s">
        <v>12375</v>
      </c>
      <c r="Z933" t="s">
        <v>74</v>
      </c>
      <c r="AA933" t="s">
        <v>74</v>
      </c>
      <c r="AB933" t="s">
        <v>74</v>
      </c>
      <c r="AC933" t="s">
        <v>74</v>
      </c>
      <c r="AD933" t="s">
        <v>74</v>
      </c>
      <c r="AE933" t="s">
        <v>74</v>
      </c>
      <c r="AF933" t="s">
        <v>74</v>
      </c>
      <c r="AG933">
        <v>22</v>
      </c>
      <c r="AH933">
        <v>0</v>
      </c>
      <c r="AI933">
        <v>0</v>
      </c>
      <c r="AJ933">
        <v>0</v>
      </c>
      <c r="AK933">
        <v>1</v>
      </c>
      <c r="AL933" t="s">
        <v>12376</v>
      </c>
      <c r="AM933" t="s">
        <v>12377</v>
      </c>
      <c r="AN933" t="s">
        <v>12378</v>
      </c>
      <c r="AO933" t="s">
        <v>12379</v>
      </c>
      <c r="AP933" t="s">
        <v>74</v>
      </c>
      <c r="AQ933" t="s">
        <v>12380</v>
      </c>
      <c r="AR933" t="s">
        <v>12381</v>
      </c>
      <c r="AS933" t="s">
        <v>74</v>
      </c>
      <c r="AT933" t="s">
        <v>74</v>
      </c>
      <c r="AU933">
        <v>2001</v>
      </c>
      <c r="AV933">
        <v>471</v>
      </c>
      <c r="AW933" t="s">
        <v>74</v>
      </c>
      <c r="AX933" t="s">
        <v>74</v>
      </c>
      <c r="AY933" t="s">
        <v>74</v>
      </c>
      <c r="AZ933" t="s">
        <v>74</v>
      </c>
      <c r="BA933" t="s">
        <v>74</v>
      </c>
      <c r="BB933">
        <v>137</v>
      </c>
      <c r="BC933">
        <v>143</v>
      </c>
      <c r="BD933" t="s">
        <v>74</v>
      </c>
      <c r="BE933" t="s">
        <v>74</v>
      </c>
      <c r="BF933" t="s">
        <v>74</v>
      </c>
      <c r="BG933" t="s">
        <v>74</v>
      </c>
      <c r="BH933" t="s">
        <v>74</v>
      </c>
      <c r="BI933">
        <v>7</v>
      </c>
      <c r="BJ933" t="s">
        <v>12382</v>
      </c>
      <c r="BK933" t="s">
        <v>12345</v>
      </c>
      <c r="BL933" t="s">
        <v>12383</v>
      </c>
      <c r="BM933" t="s">
        <v>12384</v>
      </c>
      <c r="BN933" t="s">
        <v>74</v>
      </c>
      <c r="BO933" t="s">
        <v>74</v>
      </c>
      <c r="BP933" t="s">
        <v>74</v>
      </c>
      <c r="BQ933" t="s">
        <v>74</v>
      </c>
      <c r="BR933" t="s">
        <v>91</v>
      </c>
      <c r="BS933" t="s">
        <v>12385</v>
      </c>
      <c r="BT933" t="str">
        <f>HYPERLINK("https%3A%2F%2Fwww.webofscience.com%2Fwos%2Fwoscc%2Ffull-record%2FWOS:000172696400021","View Full Record in Web of Science")</f>
        <v>View Full Record in Web of Science</v>
      </c>
    </row>
    <row r="934" spans="1:72" x14ac:dyDescent="0.15">
      <c r="A934" t="s">
        <v>12327</v>
      </c>
      <c r="B934" t="s">
        <v>12386</v>
      </c>
      <c r="C934" t="s">
        <v>74</v>
      </c>
      <c r="D934" t="s">
        <v>12366</v>
      </c>
      <c r="E934" t="s">
        <v>74</v>
      </c>
      <c r="F934" t="s">
        <v>12386</v>
      </c>
      <c r="G934" t="s">
        <v>74</v>
      </c>
      <c r="H934" t="s">
        <v>74</v>
      </c>
      <c r="I934" t="s">
        <v>12387</v>
      </c>
      <c r="J934" t="s">
        <v>12368</v>
      </c>
      <c r="K934" t="s">
        <v>12369</v>
      </c>
      <c r="L934" t="s">
        <v>74</v>
      </c>
      <c r="M934" t="s">
        <v>77</v>
      </c>
      <c r="N934" t="s">
        <v>12333</v>
      </c>
      <c r="O934" t="s">
        <v>12370</v>
      </c>
      <c r="P934" t="s">
        <v>12371</v>
      </c>
      <c r="Q934" t="s">
        <v>12372</v>
      </c>
      <c r="R934" t="s">
        <v>74</v>
      </c>
      <c r="S934" t="s">
        <v>74</v>
      </c>
      <c r="T934" t="s">
        <v>74</v>
      </c>
      <c r="U934" t="s">
        <v>74</v>
      </c>
      <c r="V934" t="s">
        <v>12388</v>
      </c>
      <c r="W934" t="s">
        <v>12389</v>
      </c>
      <c r="X934" t="s">
        <v>74</v>
      </c>
      <c r="Y934" t="s">
        <v>12390</v>
      </c>
      <c r="Z934" t="s">
        <v>74</v>
      </c>
      <c r="AA934" t="s">
        <v>74</v>
      </c>
      <c r="AB934" t="s">
        <v>74</v>
      </c>
      <c r="AC934" t="s">
        <v>74</v>
      </c>
      <c r="AD934" t="s">
        <v>74</v>
      </c>
      <c r="AE934" t="s">
        <v>74</v>
      </c>
      <c r="AF934" t="s">
        <v>74</v>
      </c>
      <c r="AG934">
        <v>0</v>
      </c>
      <c r="AH934">
        <v>10</v>
      </c>
      <c r="AI934">
        <v>10</v>
      </c>
      <c r="AJ934">
        <v>0</v>
      </c>
      <c r="AK934">
        <v>0</v>
      </c>
      <c r="AL934" t="s">
        <v>12376</v>
      </c>
      <c r="AM934" t="s">
        <v>12377</v>
      </c>
      <c r="AN934" t="s">
        <v>12378</v>
      </c>
      <c r="AO934" t="s">
        <v>12379</v>
      </c>
      <c r="AP934" t="s">
        <v>74</v>
      </c>
      <c r="AQ934" t="s">
        <v>12380</v>
      </c>
      <c r="AR934" t="s">
        <v>12381</v>
      </c>
      <c r="AS934" t="s">
        <v>74</v>
      </c>
      <c r="AT934" t="s">
        <v>74</v>
      </c>
      <c r="AU934">
        <v>2001</v>
      </c>
      <c r="AV934">
        <v>471</v>
      </c>
      <c r="AW934" t="s">
        <v>74</v>
      </c>
      <c r="AX934" t="s">
        <v>74</v>
      </c>
      <c r="AY934" t="s">
        <v>74</v>
      </c>
      <c r="AZ934" t="s">
        <v>74</v>
      </c>
      <c r="BA934" t="s">
        <v>74</v>
      </c>
      <c r="BB934">
        <v>597</v>
      </c>
      <c r="BC934">
        <v>601</v>
      </c>
      <c r="BD934" t="s">
        <v>74</v>
      </c>
      <c r="BE934" t="s">
        <v>74</v>
      </c>
      <c r="BF934" t="s">
        <v>74</v>
      </c>
      <c r="BG934" t="s">
        <v>74</v>
      </c>
      <c r="BH934" t="s">
        <v>74</v>
      </c>
      <c r="BI934">
        <v>5</v>
      </c>
      <c r="BJ934" t="s">
        <v>12382</v>
      </c>
      <c r="BK934" t="s">
        <v>12345</v>
      </c>
      <c r="BL934" t="s">
        <v>12383</v>
      </c>
      <c r="BM934" t="s">
        <v>12384</v>
      </c>
      <c r="BN934" t="s">
        <v>74</v>
      </c>
      <c r="BO934" t="s">
        <v>74</v>
      </c>
      <c r="BP934" t="s">
        <v>74</v>
      </c>
      <c r="BQ934" t="s">
        <v>74</v>
      </c>
      <c r="BR934" t="s">
        <v>91</v>
      </c>
      <c r="BS934" t="s">
        <v>12391</v>
      </c>
      <c r="BT934" t="str">
        <f>HYPERLINK("https%3A%2F%2Fwww.webofscience.com%2Fwos%2Fwoscc%2Ffull-record%2FWOS:000172696400100","View Full Record in Web of Science")</f>
        <v>View Full Record in Web of Science</v>
      </c>
    </row>
    <row r="935" spans="1:72" x14ac:dyDescent="0.15">
      <c r="A935" t="s">
        <v>12327</v>
      </c>
      <c r="B935" t="s">
        <v>12392</v>
      </c>
      <c r="C935" t="s">
        <v>74</v>
      </c>
      <c r="D935" t="s">
        <v>12366</v>
      </c>
      <c r="E935" t="s">
        <v>74</v>
      </c>
      <c r="F935" t="s">
        <v>12392</v>
      </c>
      <c r="G935" t="s">
        <v>74</v>
      </c>
      <c r="H935" t="s">
        <v>74</v>
      </c>
      <c r="I935" t="s">
        <v>12393</v>
      </c>
      <c r="J935" t="s">
        <v>12368</v>
      </c>
      <c r="K935" t="s">
        <v>12369</v>
      </c>
      <c r="L935" t="s">
        <v>74</v>
      </c>
      <c r="M935" t="s">
        <v>77</v>
      </c>
      <c r="N935" t="s">
        <v>12333</v>
      </c>
      <c r="O935" t="s">
        <v>12370</v>
      </c>
      <c r="P935" t="s">
        <v>12371</v>
      </c>
      <c r="Q935" t="s">
        <v>12372</v>
      </c>
      <c r="R935" t="s">
        <v>74</v>
      </c>
      <c r="S935" t="s">
        <v>74</v>
      </c>
      <c r="T935" t="s">
        <v>74</v>
      </c>
      <c r="U935" t="s">
        <v>74</v>
      </c>
      <c r="V935" t="s">
        <v>12394</v>
      </c>
      <c r="W935" t="s">
        <v>12395</v>
      </c>
      <c r="X935" t="s">
        <v>12396</v>
      </c>
      <c r="Y935" t="s">
        <v>12397</v>
      </c>
      <c r="Z935" t="s">
        <v>74</v>
      </c>
      <c r="AA935" t="s">
        <v>12398</v>
      </c>
      <c r="AB935" t="s">
        <v>74</v>
      </c>
      <c r="AC935" t="s">
        <v>74</v>
      </c>
      <c r="AD935" t="s">
        <v>74</v>
      </c>
      <c r="AE935" t="s">
        <v>74</v>
      </c>
      <c r="AF935" t="s">
        <v>74</v>
      </c>
      <c r="AG935">
        <v>3</v>
      </c>
      <c r="AH935">
        <v>0</v>
      </c>
      <c r="AI935">
        <v>0</v>
      </c>
      <c r="AJ935">
        <v>1</v>
      </c>
      <c r="AK935">
        <v>1</v>
      </c>
      <c r="AL935" t="s">
        <v>12376</v>
      </c>
      <c r="AM935" t="s">
        <v>12377</v>
      </c>
      <c r="AN935" t="s">
        <v>12378</v>
      </c>
      <c r="AO935" t="s">
        <v>12379</v>
      </c>
      <c r="AP935" t="s">
        <v>74</v>
      </c>
      <c r="AQ935" t="s">
        <v>12380</v>
      </c>
      <c r="AR935" t="s">
        <v>12381</v>
      </c>
      <c r="AS935" t="s">
        <v>74</v>
      </c>
      <c r="AT935" t="s">
        <v>74</v>
      </c>
      <c r="AU935">
        <v>2001</v>
      </c>
      <c r="AV935">
        <v>471</v>
      </c>
      <c r="AW935" t="s">
        <v>74</v>
      </c>
      <c r="AX935" t="s">
        <v>74</v>
      </c>
      <c r="AY935" t="s">
        <v>74</v>
      </c>
      <c r="AZ935" t="s">
        <v>74</v>
      </c>
      <c r="BA935" t="s">
        <v>74</v>
      </c>
      <c r="BB935">
        <v>613</v>
      </c>
      <c r="BC935">
        <v>618</v>
      </c>
      <c r="BD935" t="s">
        <v>74</v>
      </c>
      <c r="BE935" t="s">
        <v>74</v>
      </c>
      <c r="BF935" t="s">
        <v>74</v>
      </c>
      <c r="BG935" t="s">
        <v>74</v>
      </c>
      <c r="BH935" t="s">
        <v>74</v>
      </c>
      <c r="BI935">
        <v>6</v>
      </c>
      <c r="BJ935" t="s">
        <v>12382</v>
      </c>
      <c r="BK935" t="s">
        <v>12345</v>
      </c>
      <c r="BL935" t="s">
        <v>12383</v>
      </c>
      <c r="BM935" t="s">
        <v>12384</v>
      </c>
      <c r="BN935" t="s">
        <v>74</v>
      </c>
      <c r="BO935" t="s">
        <v>74</v>
      </c>
      <c r="BP935" t="s">
        <v>74</v>
      </c>
      <c r="BQ935" t="s">
        <v>74</v>
      </c>
      <c r="BR935" t="s">
        <v>91</v>
      </c>
      <c r="BS935" t="s">
        <v>12399</v>
      </c>
      <c r="BT935" t="str">
        <f>HYPERLINK("https%3A%2F%2Fwww.webofscience.com%2Fwos%2Fwoscc%2Ffull-record%2FWOS:000172696400103","View Full Record in Web of Science")</f>
        <v>View Full Record in Web of Science</v>
      </c>
    </row>
    <row r="936" spans="1:72" x14ac:dyDescent="0.15">
      <c r="A936" t="s">
        <v>12327</v>
      </c>
      <c r="B936" t="s">
        <v>12400</v>
      </c>
      <c r="C936" t="s">
        <v>74</v>
      </c>
      <c r="D936" t="s">
        <v>74</v>
      </c>
      <c r="E936" t="s">
        <v>12349</v>
      </c>
      <c r="F936" t="s">
        <v>12400</v>
      </c>
      <c r="G936" t="s">
        <v>74</v>
      </c>
      <c r="H936" t="s">
        <v>74</v>
      </c>
      <c r="I936" t="s">
        <v>12401</v>
      </c>
      <c r="J936" t="s">
        <v>12402</v>
      </c>
      <c r="K936" t="s">
        <v>74</v>
      </c>
      <c r="L936" t="s">
        <v>74</v>
      </c>
      <c r="M936" t="s">
        <v>77</v>
      </c>
      <c r="N936" t="s">
        <v>12333</v>
      </c>
      <c r="O936" t="s">
        <v>12403</v>
      </c>
      <c r="P936" t="s">
        <v>12404</v>
      </c>
      <c r="Q936" t="s">
        <v>12354</v>
      </c>
      <c r="R936" t="s">
        <v>74</v>
      </c>
      <c r="S936" t="s">
        <v>74</v>
      </c>
      <c r="T936" t="s">
        <v>74</v>
      </c>
      <c r="U936" t="s">
        <v>74</v>
      </c>
      <c r="V936" t="s">
        <v>74</v>
      </c>
      <c r="W936" t="s">
        <v>12405</v>
      </c>
      <c r="X936" t="s">
        <v>74</v>
      </c>
      <c r="Y936" t="s">
        <v>12406</v>
      </c>
      <c r="Z936" t="s">
        <v>74</v>
      </c>
      <c r="AA936" t="s">
        <v>74</v>
      </c>
      <c r="AB936" t="s">
        <v>74</v>
      </c>
      <c r="AC936" t="s">
        <v>74</v>
      </c>
      <c r="AD936" t="s">
        <v>74</v>
      </c>
      <c r="AE936" t="s">
        <v>74</v>
      </c>
      <c r="AF936" t="s">
        <v>74</v>
      </c>
      <c r="AG936">
        <v>1</v>
      </c>
      <c r="AH936">
        <v>0</v>
      </c>
      <c r="AI936">
        <v>1</v>
      </c>
      <c r="AJ936">
        <v>0</v>
      </c>
      <c r="AK936">
        <v>1</v>
      </c>
      <c r="AL936" t="s">
        <v>12356</v>
      </c>
      <c r="AM936" t="s">
        <v>3915</v>
      </c>
      <c r="AN936" t="s">
        <v>12357</v>
      </c>
      <c r="AO936" t="s">
        <v>74</v>
      </c>
      <c r="AP936" t="s">
        <v>74</v>
      </c>
      <c r="AQ936" t="s">
        <v>74</v>
      </c>
      <c r="AR936" t="s">
        <v>74</v>
      </c>
      <c r="AS936" t="s">
        <v>74</v>
      </c>
      <c r="AT936" t="s">
        <v>74</v>
      </c>
      <c r="AU936">
        <v>2001</v>
      </c>
      <c r="AV936" t="s">
        <v>74</v>
      </c>
      <c r="AW936" t="s">
        <v>74</v>
      </c>
      <c r="AX936" t="s">
        <v>74</v>
      </c>
      <c r="AY936" t="s">
        <v>74</v>
      </c>
      <c r="AZ936" t="s">
        <v>74</v>
      </c>
      <c r="BA936" t="s">
        <v>74</v>
      </c>
      <c r="BB936">
        <v>6</v>
      </c>
      <c r="BC936">
        <v>9</v>
      </c>
      <c r="BD936" t="s">
        <v>74</v>
      </c>
      <c r="BE936" t="s">
        <v>74</v>
      </c>
      <c r="BF936" t="s">
        <v>74</v>
      </c>
      <c r="BG936" t="s">
        <v>74</v>
      </c>
      <c r="BH936" t="s">
        <v>74</v>
      </c>
      <c r="BI936">
        <v>4</v>
      </c>
      <c r="BJ936" t="s">
        <v>12407</v>
      </c>
      <c r="BK936" t="s">
        <v>12345</v>
      </c>
      <c r="BL936" t="s">
        <v>12407</v>
      </c>
      <c r="BM936" t="s">
        <v>12408</v>
      </c>
      <c r="BN936" t="s">
        <v>74</v>
      </c>
      <c r="BO936" t="s">
        <v>74</v>
      </c>
      <c r="BP936" t="s">
        <v>74</v>
      </c>
      <c r="BQ936" t="s">
        <v>74</v>
      </c>
      <c r="BR936" t="s">
        <v>91</v>
      </c>
      <c r="BS936" t="s">
        <v>12409</v>
      </c>
      <c r="BT936" t="str">
        <f>HYPERLINK("https%3A%2F%2Fwww.webofscience.com%2Fwos%2Fwoscc%2Ffull-record%2FWOS:000177651500003","View Full Record in Web of Science")</f>
        <v>View Full Record in Web of Science</v>
      </c>
    </row>
    <row r="937" spans="1:72" x14ac:dyDescent="0.15">
      <c r="A937" t="s">
        <v>12327</v>
      </c>
      <c r="B937" t="s">
        <v>12410</v>
      </c>
      <c r="C937" t="s">
        <v>74</v>
      </c>
      <c r="D937" t="s">
        <v>74</v>
      </c>
      <c r="E937" t="s">
        <v>12411</v>
      </c>
      <c r="F937" t="s">
        <v>12410</v>
      </c>
      <c r="G937" t="s">
        <v>74</v>
      </c>
      <c r="H937" t="s">
        <v>74</v>
      </c>
      <c r="I937" t="s">
        <v>12412</v>
      </c>
      <c r="J937" t="s">
        <v>12413</v>
      </c>
      <c r="K937" t="s">
        <v>12414</v>
      </c>
      <c r="L937" t="s">
        <v>74</v>
      </c>
      <c r="M937" t="s">
        <v>77</v>
      </c>
      <c r="N937" t="s">
        <v>12333</v>
      </c>
      <c r="O937" t="s">
        <v>12415</v>
      </c>
      <c r="P937" t="s">
        <v>12416</v>
      </c>
      <c r="Q937" t="s">
        <v>12417</v>
      </c>
      <c r="R937" t="s">
        <v>74</v>
      </c>
      <c r="S937" t="s">
        <v>74</v>
      </c>
      <c r="T937" t="s">
        <v>74</v>
      </c>
      <c r="U937" t="s">
        <v>74</v>
      </c>
      <c r="V937" t="s">
        <v>12418</v>
      </c>
      <c r="W937" t="s">
        <v>12419</v>
      </c>
      <c r="X937" t="s">
        <v>12420</v>
      </c>
      <c r="Y937" t="s">
        <v>12421</v>
      </c>
      <c r="Z937" t="s">
        <v>74</v>
      </c>
      <c r="AA937" t="s">
        <v>74</v>
      </c>
      <c r="AB937" t="s">
        <v>74</v>
      </c>
      <c r="AC937" t="s">
        <v>74</v>
      </c>
      <c r="AD937" t="s">
        <v>74</v>
      </c>
      <c r="AE937" t="s">
        <v>74</v>
      </c>
      <c r="AF937" t="s">
        <v>74</v>
      </c>
      <c r="AG937">
        <v>6</v>
      </c>
      <c r="AH937">
        <v>0</v>
      </c>
      <c r="AI937">
        <v>0</v>
      </c>
      <c r="AJ937">
        <v>0</v>
      </c>
      <c r="AK937">
        <v>0</v>
      </c>
      <c r="AL937" t="s">
        <v>12422</v>
      </c>
      <c r="AM937" t="s">
        <v>204</v>
      </c>
      <c r="AN937" t="s">
        <v>12423</v>
      </c>
      <c r="AO937" t="s">
        <v>12424</v>
      </c>
      <c r="AP937" t="s">
        <v>74</v>
      </c>
      <c r="AQ937" t="s">
        <v>12425</v>
      </c>
      <c r="AR937" t="s">
        <v>12426</v>
      </c>
      <c r="AS937" t="s">
        <v>74</v>
      </c>
      <c r="AT937" t="s">
        <v>74</v>
      </c>
      <c r="AU937">
        <v>2001</v>
      </c>
      <c r="AV937" t="s">
        <v>74</v>
      </c>
      <c r="AW937" t="s">
        <v>74</v>
      </c>
      <c r="AX937" t="s">
        <v>74</v>
      </c>
      <c r="AY937" t="s">
        <v>74</v>
      </c>
      <c r="AZ937" t="s">
        <v>74</v>
      </c>
      <c r="BA937" t="s">
        <v>74</v>
      </c>
      <c r="BB937">
        <v>151</v>
      </c>
      <c r="BC937">
        <v>158</v>
      </c>
      <c r="BD937" t="s">
        <v>74</v>
      </c>
      <c r="BE937" t="s">
        <v>74</v>
      </c>
      <c r="BF937" t="s">
        <v>74</v>
      </c>
      <c r="BG937" t="s">
        <v>74</v>
      </c>
      <c r="BH937" t="s">
        <v>74</v>
      </c>
      <c r="BI937">
        <v>8</v>
      </c>
      <c r="BJ937" t="s">
        <v>12427</v>
      </c>
      <c r="BK937" t="s">
        <v>12345</v>
      </c>
      <c r="BL937" t="s">
        <v>12428</v>
      </c>
      <c r="BM937" t="s">
        <v>12429</v>
      </c>
      <c r="BN937" t="s">
        <v>74</v>
      </c>
      <c r="BO937" t="s">
        <v>74</v>
      </c>
      <c r="BP937" t="s">
        <v>74</v>
      </c>
      <c r="BQ937" t="s">
        <v>74</v>
      </c>
      <c r="BR937" t="s">
        <v>91</v>
      </c>
      <c r="BS937" t="s">
        <v>12430</v>
      </c>
      <c r="BT937" t="str">
        <f>HYPERLINK("https%3A%2F%2Fwww.webofscience.com%2Fwos%2Fwoscc%2Ffull-record%2FWOS:000172696700017","View Full Record in Web of Science")</f>
        <v>View Full Record in Web of Science</v>
      </c>
    </row>
    <row r="938" spans="1:72" x14ac:dyDescent="0.15">
      <c r="A938" t="s">
        <v>12327</v>
      </c>
      <c r="B938" t="s">
        <v>12431</v>
      </c>
      <c r="C938" t="s">
        <v>74</v>
      </c>
      <c r="D938" t="s">
        <v>74</v>
      </c>
      <c r="E938" t="s">
        <v>12411</v>
      </c>
      <c r="F938" t="s">
        <v>12431</v>
      </c>
      <c r="G938" t="s">
        <v>74</v>
      </c>
      <c r="H938" t="s">
        <v>74</v>
      </c>
      <c r="I938" t="s">
        <v>12432</v>
      </c>
      <c r="J938" t="s">
        <v>12413</v>
      </c>
      <c r="K938" t="s">
        <v>12414</v>
      </c>
      <c r="L938" t="s">
        <v>74</v>
      </c>
      <c r="M938" t="s">
        <v>77</v>
      </c>
      <c r="N938" t="s">
        <v>12333</v>
      </c>
      <c r="O938" t="s">
        <v>12415</v>
      </c>
      <c r="P938" t="s">
        <v>12416</v>
      </c>
      <c r="Q938" t="s">
        <v>12417</v>
      </c>
      <c r="R938" t="s">
        <v>74</v>
      </c>
      <c r="S938" t="s">
        <v>74</v>
      </c>
      <c r="T938" t="s">
        <v>74</v>
      </c>
      <c r="U938" t="s">
        <v>74</v>
      </c>
      <c r="V938" t="s">
        <v>12433</v>
      </c>
      <c r="W938" t="s">
        <v>12434</v>
      </c>
      <c r="X938" t="s">
        <v>12435</v>
      </c>
      <c r="Y938" t="s">
        <v>12436</v>
      </c>
      <c r="Z938" t="s">
        <v>74</v>
      </c>
      <c r="AA938" t="s">
        <v>74</v>
      </c>
      <c r="AB938" t="s">
        <v>74</v>
      </c>
      <c r="AC938" t="s">
        <v>74</v>
      </c>
      <c r="AD938" t="s">
        <v>74</v>
      </c>
      <c r="AE938" t="s">
        <v>74</v>
      </c>
      <c r="AF938" t="s">
        <v>74</v>
      </c>
      <c r="AG938">
        <v>5</v>
      </c>
      <c r="AH938">
        <v>3</v>
      </c>
      <c r="AI938">
        <v>3</v>
      </c>
      <c r="AJ938">
        <v>0</v>
      </c>
      <c r="AK938">
        <v>0</v>
      </c>
      <c r="AL938" t="s">
        <v>12422</v>
      </c>
      <c r="AM938" t="s">
        <v>204</v>
      </c>
      <c r="AN938" t="s">
        <v>12423</v>
      </c>
      <c r="AO938" t="s">
        <v>12424</v>
      </c>
      <c r="AP938" t="s">
        <v>74</v>
      </c>
      <c r="AQ938" t="s">
        <v>12425</v>
      </c>
      <c r="AR938" t="s">
        <v>12426</v>
      </c>
      <c r="AS938" t="s">
        <v>74</v>
      </c>
      <c r="AT938" t="s">
        <v>74</v>
      </c>
      <c r="AU938">
        <v>2001</v>
      </c>
      <c r="AV938" t="s">
        <v>74</v>
      </c>
      <c r="AW938" t="s">
        <v>74</v>
      </c>
      <c r="AX938" t="s">
        <v>74</v>
      </c>
      <c r="AY938" t="s">
        <v>74</v>
      </c>
      <c r="AZ938" t="s">
        <v>74</v>
      </c>
      <c r="BA938" t="s">
        <v>74</v>
      </c>
      <c r="BB938">
        <v>325</v>
      </c>
      <c r="BC938">
        <v>330</v>
      </c>
      <c r="BD938" t="s">
        <v>74</v>
      </c>
      <c r="BE938" t="s">
        <v>74</v>
      </c>
      <c r="BF938" t="s">
        <v>74</v>
      </c>
      <c r="BG938" t="s">
        <v>74</v>
      </c>
      <c r="BH938" t="s">
        <v>74</v>
      </c>
      <c r="BI938">
        <v>6</v>
      </c>
      <c r="BJ938" t="s">
        <v>12427</v>
      </c>
      <c r="BK938" t="s">
        <v>12345</v>
      </c>
      <c r="BL938" t="s">
        <v>12428</v>
      </c>
      <c r="BM938" t="s">
        <v>12429</v>
      </c>
      <c r="BN938" t="s">
        <v>74</v>
      </c>
      <c r="BO938" t="s">
        <v>74</v>
      </c>
      <c r="BP938" t="s">
        <v>74</v>
      </c>
      <c r="BQ938" t="s">
        <v>74</v>
      </c>
      <c r="BR938" t="s">
        <v>91</v>
      </c>
      <c r="BS938" t="s">
        <v>12437</v>
      </c>
      <c r="BT938" t="str">
        <f>HYPERLINK("https%3A%2F%2Fwww.webofscience.com%2Fwos%2Fwoscc%2Ffull-record%2FWOS:000172696700036","View Full Record in Web of Science")</f>
        <v>View Full Record in Web of Science</v>
      </c>
    </row>
    <row r="939" spans="1:72" x14ac:dyDescent="0.15">
      <c r="A939" t="s">
        <v>12327</v>
      </c>
      <c r="B939" t="s">
        <v>12438</v>
      </c>
      <c r="C939" t="s">
        <v>74</v>
      </c>
      <c r="D939" t="s">
        <v>74</v>
      </c>
      <c r="E939" t="s">
        <v>12439</v>
      </c>
      <c r="F939" t="s">
        <v>12438</v>
      </c>
      <c r="G939" t="s">
        <v>74</v>
      </c>
      <c r="H939" t="s">
        <v>74</v>
      </c>
      <c r="I939" t="s">
        <v>12440</v>
      </c>
      <c r="J939" t="s">
        <v>12441</v>
      </c>
      <c r="K939" t="s">
        <v>12442</v>
      </c>
      <c r="L939" t="s">
        <v>74</v>
      </c>
      <c r="M939" t="s">
        <v>77</v>
      </c>
      <c r="N939" t="s">
        <v>12333</v>
      </c>
      <c r="O939" t="s">
        <v>12443</v>
      </c>
      <c r="P939" t="s">
        <v>12444</v>
      </c>
      <c r="Q939" t="s">
        <v>12445</v>
      </c>
      <c r="R939" t="s">
        <v>74</v>
      </c>
      <c r="S939" t="s">
        <v>74</v>
      </c>
      <c r="T939" t="s">
        <v>74</v>
      </c>
      <c r="U939" t="s">
        <v>74</v>
      </c>
      <c r="V939" t="s">
        <v>12446</v>
      </c>
      <c r="W939" t="s">
        <v>12447</v>
      </c>
      <c r="X939" t="s">
        <v>12448</v>
      </c>
      <c r="Y939" t="s">
        <v>12449</v>
      </c>
      <c r="Z939" t="s">
        <v>74</v>
      </c>
      <c r="AA939" t="s">
        <v>74</v>
      </c>
      <c r="AB939" t="s">
        <v>74</v>
      </c>
      <c r="AC939" t="s">
        <v>74</v>
      </c>
      <c r="AD939" t="s">
        <v>74</v>
      </c>
      <c r="AE939" t="s">
        <v>74</v>
      </c>
      <c r="AF939" t="s">
        <v>74</v>
      </c>
      <c r="AG939">
        <v>6</v>
      </c>
      <c r="AH939">
        <v>1</v>
      </c>
      <c r="AI939">
        <v>1</v>
      </c>
      <c r="AJ939">
        <v>0</v>
      </c>
      <c r="AK939">
        <v>0</v>
      </c>
      <c r="AL939" t="s">
        <v>12422</v>
      </c>
      <c r="AM939" t="s">
        <v>204</v>
      </c>
      <c r="AN939" t="s">
        <v>12423</v>
      </c>
      <c r="AO939" t="s">
        <v>12450</v>
      </c>
      <c r="AP939" t="s">
        <v>74</v>
      </c>
      <c r="AQ939" t="s">
        <v>12451</v>
      </c>
      <c r="AR939" t="s">
        <v>12452</v>
      </c>
      <c r="AS939" t="s">
        <v>74</v>
      </c>
      <c r="AT939" t="s">
        <v>74</v>
      </c>
      <c r="AU939">
        <v>2001</v>
      </c>
      <c r="AV939" t="s">
        <v>74</v>
      </c>
      <c r="AW939" t="s">
        <v>74</v>
      </c>
      <c r="AX939" t="s">
        <v>74</v>
      </c>
      <c r="AY939" t="s">
        <v>74</v>
      </c>
      <c r="AZ939" t="s">
        <v>74</v>
      </c>
      <c r="BA939" t="s">
        <v>74</v>
      </c>
      <c r="BB939">
        <v>1421</v>
      </c>
      <c r="BC939">
        <v>1426</v>
      </c>
      <c r="BD939" t="s">
        <v>74</v>
      </c>
      <c r="BE939" t="s">
        <v>74</v>
      </c>
      <c r="BF939" t="s">
        <v>74</v>
      </c>
      <c r="BG939" t="s">
        <v>74</v>
      </c>
      <c r="BH939" t="s">
        <v>74</v>
      </c>
      <c r="BI939">
        <v>6</v>
      </c>
      <c r="BJ939" t="s">
        <v>12453</v>
      </c>
      <c r="BK939" t="s">
        <v>12345</v>
      </c>
      <c r="BL939" t="s">
        <v>12454</v>
      </c>
      <c r="BM939" t="s">
        <v>12455</v>
      </c>
      <c r="BN939" t="s">
        <v>74</v>
      </c>
      <c r="BO939" t="s">
        <v>1685</v>
      </c>
      <c r="BP939" t="s">
        <v>74</v>
      </c>
      <c r="BQ939" t="s">
        <v>74</v>
      </c>
      <c r="BR939" t="s">
        <v>91</v>
      </c>
      <c r="BS939" t="s">
        <v>12456</v>
      </c>
      <c r="BT939" t="str">
        <f>HYPERLINK("https%3A%2F%2Fwww.webofscience.com%2Fwos%2Fwoscc%2Ffull-record%2FWOS:000172615800227","View Full Record in Web of Science")</f>
        <v>View Full Record in Web of Science</v>
      </c>
    </row>
    <row r="940" spans="1:72" x14ac:dyDescent="0.15">
      <c r="A940" t="s">
        <v>12327</v>
      </c>
      <c r="B940" t="s">
        <v>12457</v>
      </c>
      <c r="C940" t="s">
        <v>74</v>
      </c>
      <c r="D940" t="s">
        <v>74</v>
      </c>
      <c r="E940" t="s">
        <v>12439</v>
      </c>
      <c r="F940" t="s">
        <v>12457</v>
      </c>
      <c r="G940" t="s">
        <v>74</v>
      </c>
      <c r="H940" t="s">
        <v>74</v>
      </c>
      <c r="I940" t="s">
        <v>12458</v>
      </c>
      <c r="J940" t="s">
        <v>12441</v>
      </c>
      <c r="K940" t="s">
        <v>12459</v>
      </c>
      <c r="L940" t="s">
        <v>74</v>
      </c>
      <c r="M940" t="s">
        <v>77</v>
      </c>
      <c r="N940" t="s">
        <v>12333</v>
      </c>
      <c r="O940" t="s">
        <v>12443</v>
      </c>
      <c r="P940" t="s">
        <v>12444</v>
      </c>
      <c r="Q940" t="s">
        <v>12445</v>
      </c>
      <c r="R940" t="s">
        <v>74</v>
      </c>
      <c r="S940" t="s">
        <v>74</v>
      </c>
      <c r="T940" t="s">
        <v>12460</v>
      </c>
      <c r="U940" t="s">
        <v>74</v>
      </c>
      <c r="V940" t="s">
        <v>12461</v>
      </c>
      <c r="W940" t="s">
        <v>12462</v>
      </c>
      <c r="X940" t="s">
        <v>12463</v>
      </c>
      <c r="Y940" t="s">
        <v>12464</v>
      </c>
      <c r="Z940" t="s">
        <v>12465</v>
      </c>
      <c r="AA940" t="s">
        <v>74</v>
      </c>
      <c r="AB940" t="s">
        <v>74</v>
      </c>
      <c r="AC940" t="s">
        <v>74</v>
      </c>
      <c r="AD940" t="s">
        <v>74</v>
      </c>
      <c r="AE940" t="s">
        <v>74</v>
      </c>
      <c r="AF940" t="s">
        <v>74</v>
      </c>
      <c r="AG940">
        <v>8</v>
      </c>
      <c r="AH940">
        <v>31</v>
      </c>
      <c r="AI940">
        <v>37</v>
      </c>
      <c r="AJ940">
        <v>0</v>
      </c>
      <c r="AK940">
        <v>2</v>
      </c>
      <c r="AL940" t="s">
        <v>12422</v>
      </c>
      <c r="AM940" t="s">
        <v>204</v>
      </c>
      <c r="AN940" t="s">
        <v>12423</v>
      </c>
      <c r="AO940" t="s">
        <v>12450</v>
      </c>
      <c r="AP940" t="s">
        <v>12466</v>
      </c>
      <c r="AQ940" t="s">
        <v>12451</v>
      </c>
      <c r="AR940" t="s">
        <v>12452</v>
      </c>
      <c r="AS940" t="s">
        <v>74</v>
      </c>
      <c r="AT940" t="s">
        <v>74</v>
      </c>
      <c r="AU940">
        <v>2001</v>
      </c>
      <c r="AV940" t="s">
        <v>74</v>
      </c>
      <c r="AW940" t="s">
        <v>74</v>
      </c>
      <c r="AX940" t="s">
        <v>74</v>
      </c>
      <c r="AY940" t="s">
        <v>74</v>
      </c>
      <c r="AZ940" t="s">
        <v>74</v>
      </c>
      <c r="BA940" t="s">
        <v>74</v>
      </c>
      <c r="BB940">
        <v>4174</v>
      </c>
      <c r="BC940">
        <v>4179</v>
      </c>
      <c r="BD940" t="s">
        <v>74</v>
      </c>
      <c r="BE940" t="s">
        <v>74</v>
      </c>
      <c r="BF940" t="s">
        <v>74</v>
      </c>
      <c r="BG940" t="s">
        <v>74</v>
      </c>
      <c r="BH940" t="s">
        <v>74</v>
      </c>
      <c r="BI940">
        <v>6</v>
      </c>
      <c r="BJ940" t="s">
        <v>12453</v>
      </c>
      <c r="BK940" t="s">
        <v>12345</v>
      </c>
      <c r="BL940" t="s">
        <v>12454</v>
      </c>
      <c r="BM940" t="s">
        <v>12455</v>
      </c>
      <c r="BN940" t="s">
        <v>74</v>
      </c>
      <c r="BO940" t="s">
        <v>1685</v>
      </c>
      <c r="BP940" t="s">
        <v>74</v>
      </c>
      <c r="BQ940" t="s">
        <v>74</v>
      </c>
      <c r="BR940" t="s">
        <v>91</v>
      </c>
      <c r="BS940" t="s">
        <v>12467</v>
      </c>
      <c r="BT940" t="str">
        <f>HYPERLINK("https%3A%2F%2Fwww.webofscience.com%2Fwos%2Fwoscc%2Ffull-record%2FWOS:000172615800665","View Full Record in Web of Science")</f>
        <v>View Full Record in Web of Science</v>
      </c>
    </row>
    <row r="941" spans="1:72" x14ac:dyDescent="0.15">
      <c r="A941" t="s">
        <v>72</v>
      </c>
      <c r="B941" t="s">
        <v>5698</v>
      </c>
      <c r="C941" t="s">
        <v>74</v>
      </c>
      <c r="D941" t="s">
        <v>74</v>
      </c>
      <c r="E941" t="s">
        <v>74</v>
      </c>
      <c r="F941" t="s">
        <v>5698</v>
      </c>
      <c r="G941" t="s">
        <v>74</v>
      </c>
      <c r="H941" t="s">
        <v>74</v>
      </c>
      <c r="I941" t="s">
        <v>12468</v>
      </c>
      <c r="J941" t="s">
        <v>5700</v>
      </c>
      <c r="K941" t="s">
        <v>74</v>
      </c>
      <c r="L941" t="s">
        <v>74</v>
      </c>
      <c r="M941" t="s">
        <v>77</v>
      </c>
      <c r="N941" t="s">
        <v>120</v>
      </c>
      <c r="O941" t="s">
        <v>74</v>
      </c>
      <c r="P941" t="s">
        <v>74</v>
      </c>
      <c r="Q941" t="s">
        <v>74</v>
      </c>
      <c r="R941" t="s">
        <v>74</v>
      </c>
      <c r="S941" t="s">
        <v>74</v>
      </c>
      <c r="T941" t="s">
        <v>12469</v>
      </c>
      <c r="U941" t="s">
        <v>12470</v>
      </c>
      <c r="V941" t="s">
        <v>12471</v>
      </c>
      <c r="W941" t="s">
        <v>5703</v>
      </c>
      <c r="X941" t="s">
        <v>5704</v>
      </c>
      <c r="Y941" t="s">
        <v>5705</v>
      </c>
      <c r="Z941" t="s">
        <v>74</v>
      </c>
      <c r="AA941" t="s">
        <v>74</v>
      </c>
      <c r="AB941" t="s">
        <v>74</v>
      </c>
      <c r="AC941" t="s">
        <v>74</v>
      </c>
      <c r="AD941" t="s">
        <v>74</v>
      </c>
      <c r="AE941" t="s">
        <v>74</v>
      </c>
      <c r="AF941" t="s">
        <v>74</v>
      </c>
      <c r="AG941">
        <v>27</v>
      </c>
      <c r="AH941">
        <v>7</v>
      </c>
      <c r="AI941">
        <v>11</v>
      </c>
      <c r="AJ941">
        <v>0</v>
      </c>
      <c r="AK941">
        <v>8</v>
      </c>
      <c r="AL941" t="s">
        <v>5706</v>
      </c>
      <c r="AM941" t="s">
        <v>5707</v>
      </c>
      <c r="AN941" t="s">
        <v>5708</v>
      </c>
      <c r="AO941" t="s">
        <v>5709</v>
      </c>
      <c r="AP941" t="s">
        <v>74</v>
      </c>
      <c r="AQ941" t="s">
        <v>74</v>
      </c>
      <c r="AR941" t="s">
        <v>5710</v>
      </c>
      <c r="AS941" t="s">
        <v>5711</v>
      </c>
      <c r="AT941" t="s">
        <v>12472</v>
      </c>
      <c r="AU941">
        <v>2001</v>
      </c>
      <c r="AV941">
        <v>46</v>
      </c>
      <c r="AW941">
        <v>1</v>
      </c>
      <c r="AX941" t="s">
        <v>74</v>
      </c>
      <c r="AY941" t="s">
        <v>74</v>
      </c>
      <c r="AZ941" t="s">
        <v>74</v>
      </c>
      <c r="BA941" t="s">
        <v>74</v>
      </c>
      <c r="BB941">
        <v>18</v>
      </c>
      <c r="BC941">
        <v>23</v>
      </c>
      <c r="BD941" t="s">
        <v>74</v>
      </c>
      <c r="BE941" t="s">
        <v>74</v>
      </c>
      <c r="BF941" t="s">
        <v>74</v>
      </c>
      <c r="BG941" t="s">
        <v>74</v>
      </c>
      <c r="BH941" t="s">
        <v>74</v>
      </c>
      <c r="BI941">
        <v>6</v>
      </c>
      <c r="BJ941" t="s">
        <v>5713</v>
      </c>
      <c r="BK941" t="s">
        <v>88</v>
      </c>
      <c r="BL941" t="s">
        <v>5713</v>
      </c>
      <c r="BM941" t="s">
        <v>12473</v>
      </c>
      <c r="BN941" t="s">
        <v>74</v>
      </c>
      <c r="BO941" t="s">
        <v>74</v>
      </c>
      <c r="BP941" t="s">
        <v>74</v>
      </c>
      <c r="BQ941" t="s">
        <v>74</v>
      </c>
      <c r="BR941" t="s">
        <v>91</v>
      </c>
      <c r="BS941" t="s">
        <v>12474</v>
      </c>
      <c r="BT941" t="str">
        <f>HYPERLINK("https%3A%2F%2Fwww.webofscience.com%2Fwos%2Fwoscc%2Ffull-record%2FWOS:000167075700004","View Full Record in Web of Science")</f>
        <v>View Full Record in Web of Science</v>
      </c>
    </row>
    <row r="942" spans="1:72" x14ac:dyDescent="0.15">
      <c r="A942" t="s">
        <v>298</v>
      </c>
      <c r="B942" t="s">
        <v>12475</v>
      </c>
      <c r="C942" t="s">
        <v>74</v>
      </c>
      <c r="D942" t="s">
        <v>12476</v>
      </c>
      <c r="E942" t="s">
        <v>74</v>
      </c>
      <c r="F942" t="s">
        <v>12475</v>
      </c>
      <c r="G942" t="s">
        <v>74</v>
      </c>
      <c r="H942" t="s">
        <v>74</v>
      </c>
      <c r="I942" t="s">
        <v>12477</v>
      </c>
      <c r="J942" t="s">
        <v>12478</v>
      </c>
      <c r="K942" t="s">
        <v>12479</v>
      </c>
      <c r="L942" t="s">
        <v>74</v>
      </c>
      <c r="M942" t="s">
        <v>77</v>
      </c>
      <c r="N942" t="s">
        <v>435</v>
      </c>
      <c r="O942" t="s">
        <v>12480</v>
      </c>
      <c r="P942" t="s">
        <v>12481</v>
      </c>
      <c r="Q942" t="s">
        <v>12482</v>
      </c>
      <c r="R942" t="s">
        <v>74</v>
      </c>
      <c r="S942" t="s">
        <v>74</v>
      </c>
      <c r="T942" t="s">
        <v>74</v>
      </c>
      <c r="U942" t="s">
        <v>12483</v>
      </c>
      <c r="V942" t="s">
        <v>12484</v>
      </c>
      <c r="W942" t="s">
        <v>12485</v>
      </c>
      <c r="X942" t="s">
        <v>12486</v>
      </c>
      <c r="Y942" t="s">
        <v>12487</v>
      </c>
      <c r="Z942" t="s">
        <v>74</v>
      </c>
      <c r="AA942" t="s">
        <v>74</v>
      </c>
      <c r="AB942" t="s">
        <v>74</v>
      </c>
      <c r="AC942" t="s">
        <v>74</v>
      </c>
      <c r="AD942" t="s">
        <v>74</v>
      </c>
      <c r="AE942" t="s">
        <v>74</v>
      </c>
      <c r="AF942" t="s">
        <v>74</v>
      </c>
      <c r="AG942">
        <v>14</v>
      </c>
      <c r="AH942">
        <v>4</v>
      </c>
      <c r="AI942">
        <v>4</v>
      </c>
      <c r="AJ942">
        <v>0</v>
      </c>
      <c r="AK942">
        <v>3</v>
      </c>
      <c r="AL942" t="s">
        <v>488</v>
      </c>
      <c r="AM942" t="s">
        <v>350</v>
      </c>
      <c r="AN942" t="s">
        <v>12488</v>
      </c>
      <c r="AO942" t="s">
        <v>12489</v>
      </c>
      <c r="AP942" t="s">
        <v>74</v>
      </c>
      <c r="AQ942" t="s">
        <v>74</v>
      </c>
      <c r="AR942" t="s">
        <v>12490</v>
      </c>
      <c r="AS942" t="s">
        <v>74</v>
      </c>
      <c r="AT942" t="s">
        <v>74</v>
      </c>
      <c r="AU942">
        <v>2001</v>
      </c>
      <c r="AV942">
        <v>28</v>
      </c>
      <c r="AW942">
        <v>11</v>
      </c>
      <c r="AX942" t="s">
        <v>74</v>
      </c>
      <c r="AY942" t="s">
        <v>74</v>
      </c>
      <c r="AZ942" t="s">
        <v>74</v>
      </c>
      <c r="BA942" t="s">
        <v>74</v>
      </c>
      <c r="BB942">
        <v>1661</v>
      </c>
      <c r="BC942">
        <v>1667</v>
      </c>
      <c r="BD942" t="s">
        <v>74</v>
      </c>
      <c r="BE942" t="s">
        <v>12491</v>
      </c>
      <c r="BF942" t="str">
        <f>HYPERLINK("http://dx.doi.org/10.1016/S0273-1177(01)00495-1","http://dx.doi.org/10.1016/S0273-1177(01)00495-1")</f>
        <v>http://dx.doi.org/10.1016/S0273-1177(01)00495-1</v>
      </c>
      <c r="BG942" t="s">
        <v>74</v>
      </c>
      <c r="BH942" t="s">
        <v>74</v>
      </c>
      <c r="BI942">
        <v>7</v>
      </c>
      <c r="BJ942" t="s">
        <v>12492</v>
      </c>
      <c r="BK942" t="s">
        <v>453</v>
      </c>
      <c r="BL942" t="s">
        <v>12493</v>
      </c>
      <c r="BM942" t="s">
        <v>12494</v>
      </c>
      <c r="BN942" t="s">
        <v>74</v>
      </c>
      <c r="BO942" t="s">
        <v>74</v>
      </c>
      <c r="BP942" t="s">
        <v>74</v>
      </c>
      <c r="BQ942" t="s">
        <v>74</v>
      </c>
      <c r="BR942" t="s">
        <v>91</v>
      </c>
      <c r="BS942" t="s">
        <v>12495</v>
      </c>
      <c r="BT942" t="str">
        <f>HYPERLINK("https%3A%2F%2Fwww.webofscience.com%2Fwos%2Fwoscc%2Ffull-record%2FWOS:000173496800013","View Full Record in Web of Science")</f>
        <v>View Full Record in Web of Science</v>
      </c>
    </row>
    <row r="943" spans="1:72" x14ac:dyDescent="0.15">
      <c r="A943" t="s">
        <v>298</v>
      </c>
      <c r="B943" t="s">
        <v>12496</v>
      </c>
      <c r="C943" t="s">
        <v>74</v>
      </c>
      <c r="D943" t="s">
        <v>12497</v>
      </c>
      <c r="E943" t="s">
        <v>74</v>
      </c>
      <c r="F943" t="s">
        <v>12496</v>
      </c>
      <c r="G943" t="s">
        <v>74</v>
      </c>
      <c r="H943" t="s">
        <v>74</v>
      </c>
      <c r="I943" t="s">
        <v>12498</v>
      </c>
      <c r="J943" t="s">
        <v>12499</v>
      </c>
      <c r="K943" t="s">
        <v>12500</v>
      </c>
      <c r="L943" t="s">
        <v>74</v>
      </c>
      <c r="M943" t="s">
        <v>77</v>
      </c>
      <c r="N943" t="s">
        <v>96</v>
      </c>
      <c r="O943" t="s">
        <v>74</v>
      </c>
      <c r="P943" t="s">
        <v>74</v>
      </c>
      <c r="Q943" t="s">
        <v>74</v>
      </c>
      <c r="R943" t="s">
        <v>74</v>
      </c>
      <c r="S943" t="s">
        <v>74</v>
      </c>
      <c r="T943" t="s">
        <v>74</v>
      </c>
      <c r="U943" t="s">
        <v>12501</v>
      </c>
      <c r="V943" t="s">
        <v>74</v>
      </c>
      <c r="W943" t="s">
        <v>12502</v>
      </c>
      <c r="X943" t="s">
        <v>12503</v>
      </c>
      <c r="Y943" t="s">
        <v>12504</v>
      </c>
      <c r="Z943" t="s">
        <v>12505</v>
      </c>
      <c r="AA943" t="s">
        <v>12506</v>
      </c>
      <c r="AB943" t="s">
        <v>12507</v>
      </c>
      <c r="AC943" t="s">
        <v>74</v>
      </c>
      <c r="AD943" t="s">
        <v>74</v>
      </c>
      <c r="AE943" t="s">
        <v>74</v>
      </c>
      <c r="AF943" t="s">
        <v>74</v>
      </c>
      <c r="AG943">
        <v>161</v>
      </c>
      <c r="AH943">
        <v>58</v>
      </c>
      <c r="AI943">
        <v>66</v>
      </c>
      <c r="AJ943">
        <v>2</v>
      </c>
      <c r="AK943">
        <v>27</v>
      </c>
      <c r="AL943" t="s">
        <v>12508</v>
      </c>
      <c r="AM943" t="s">
        <v>1133</v>
      </c>
      <c r="AN943" t="s">
        <v>12509</v>
      </c>
      <c r="AO943" t="s">
        <v>12510</v>
      </c>
      <c r="AP943" t="s">
        <v>74</v>
      </c>
      <c r="AQ943" t="s">
        <v>12511</v>
      </c>
      <c r="AR943" t="s">
        <v>12512</v>
      </c>
      <c r="AS943" t="s">
        <v>12513</v>
      </c>
      <c r="AT943" t="s">
        <v>74</v>
      </c>
      <c r="AU943">
        <v>2001</v>
      </c>
      <c r="AV943">
        <v>39</v>
      </c>
      <c r="AW943" t="s">
        <v>74</v>
      </c>
      <c r="AX943" t="s">
        <v>74</v>
      </c>
      <c r="AY943" t="s">
        <v>74</v>
      </c>
      <c r="AZ943" t="s">
        <v>74</v>
      </c>
      <c r="BA943" t="s">
        <v>74</v>
      </c>
      <c r="BB943">
        <v>261</v>
      </c>
      <c r="BC943">
        <v>303</v>
      </c>
      <c r="BD943" t="s">
        <v>74</v>
      </c>
      <c r="BE943" t="s">
        <v>12514</v>
      </c>
      <c r="BF943" t="str">
        <f>HYPERLINK("http://dx.doi.org/10.1016/S0065-2881(01)39010-7","http://dx.doi.org/10.1016/S0065-2881(01)39010-7")</f>
        <v>http://dx.doi.org/10.1016/S0065-2881(01)39010-7</v>
      </c>
      <c r="BG943" t="s">
        <v>74</v>
      </c>
      <c r="BH943" t="s">
        <v>74</v>
      </c>
      <c r="BI943">
        <v>51</v>
      </c>
      <c r="BJ943" t="s">
        <v>323</v>
      </c>
      <c r="BK943" t="s">
        <v>88</v>
      </c>
      <c r="BL943" t="s">
        <v>323</v>
      </c>
      <c r="BM943" t="s">
        <v>12515</v>
      </c>
      <c r="BN943" t="s">
        <v>74</v>
      </c>
      <c r="BO943" t="s">
        <v>74</v>
      </c>
      <c r="BP943" t="s">
        <v>74</v>
      </c>
      <c r="BQ943" t="s">
        <v>74</v>
      </c>
      <c r="BR943" t="s">
        <v>91</v>
      </c>
      <c r="BS943" t="s">
        <v>12516</v>
      </c>
      <c r="BT943" t="str">
        <f>HYPERLINK("https%3A%2F%2Fwww.webofscience.com%2Fwos%2Fwoscc%2Ffull-record%2FWOS:000165768100003","View Full Record in Web of Science")</f>
        <v>View Full Record in Web of Science</v>
      </c>
    </row>
    <row r="944" spans="1:72" x14ac:dyDescent="0.15">
      <c r="A944" t="s">
        <v>12327</v>
      </c>
      <c r="B944" t="s">
        <v>12517</v>
      </c>
      <c r="C944" t="s">
        <v>74</v>
      </c>
      <c r="D944" t="s">
        <v>12518</v>
      </c>
      <c r="E944" t="s">
        <v>74</v>
      </c>
      <c r="F944" t="s">
        <v>12517</v>
      </c>
      <c r="G944" t="s">
        <v>74</v>
      </c>
      <c r="H944" t="s">
        <v>74</v>
      </c>
      <c r="I944" t="s">
        <v>12519</v>
      </c>
      <c r="J944" t="s">
        <v>12520</v>
      </c>
      <c r="K944" t="s">
        <v>12521</v>
      </c>
      <c r="L944" t="s">
        <v>74</v>
      </c>
      <c r="M944" t="s">
        <v>77</v>
      </c>
      <c r="N944" t="s">
        <v>12333</v>
      </c>
      <c r="O944" t="s">
        <v>12522</v>
      </c>
      <c r="P944" t="s">
        <v>12523</v>
      </c>
      <c r="Q944" t="s">
        <v>12524</v>
      </c>
      <c r="R944" t="s">
        <v>74</v>
      </c>
      <c r="S944" t="s">
        <v>74</v>
      </c>
      <c r="T944" t="s">
        <v>74</v>
      </c>
      <c r="U944" t="s">
        <v>74</v>
      </c>
      <c r="V944" t="s">
        <v>12525</v>
      </c>
      <c r="W944" t="s">
        <v>12462</v>
      </c>
      <c r="X944" t="s">
        <v>12463</v>
      </c>
      <c r="Y944" t="s">
        <v>12526</v>
      </c>
      <c r="Z944" t="s">
        <v>74</v>
      </c>
      <c r="AA944" t="s">
        <v>74</v>
      </c>
      <c r="AB944" t="s">
        <v>74</v>
      </c>
      <c r="AC944" t="s">
        <v>74</v>
      </c>
      <c r="AD944" t="s">
        <v>74</v>
      </c>
      <c r="AE944" t="s">
        <v>74</v>
      </c>
      <c r="AF944" t="s">
        <v>74</v>
      </c>
      <c r="AG944">
        <v>7</v>
      </c>
      <c r="AH944">
        <v>0</v>
      </c>
      <c r="AI944">
        <v>0</v>
      </c>
      <c r="AJ944">
        <v>0</v>
      </c>
      <c r="AK944">
        <v>1</v>
      </c>
      <c r="AL944" t="s">
        <v>12527</v>
      </c>
      <c r="AM944" t="s">
        <v>1226</v>
      </c>
      <c r="AN944" t="s">
        <v>12528</v>
      </c>
      <c r="AO944" t="s">
        <v>12529</v>
      </c>
      <c r="AP944" t="s">
        <v>74</v>
      </c>
      <c r="AQ944" t="s">
        <v>12530</v>
      </c>
      <c r="AR944" t="s">
        <v>12531</v>
      </c>
      <c r="AS944" t="s">
        <v>74</v>
      </c>
      <c r="AT944" t="s">
        <v>74</v>
      </c>
      <c r="AU944">
        <v>2001</v>
      </c>
      <c r="AV944">
        <v>13</v>
      </c>
      <c r="AW944" t="s">
        <v>74</v>
      </c>
      <c r="AX944" t="s">
        <v>74</v>
      </c>
      <c r="AY944" t="s">
        <v>74</v>
      </c>
      <c r="AZ944" t="s">
        <v>74</v>
      </c>
      <c r="BA944" t="s">
        <v>74</v>
      </c>
      <c r="BB944">
        <v>988</v>
      </c>
      <c r="BC944">
        <v>994</v>
      </c>
      <c r="BD944" t="s">
        <v>74</v>
      </c>
      <c r="BE944" t="s">
        <v>74</v>
      </c>
      <c r="BF944" t="s">
        <v>74</v>
      </c>
      <c r="BG944" t="s">
        <v>74</v>
      </c>
      <c r="BH944" t="s">
        <v>74</v>
      </c>
      <c r="BI944">
        <v>7</v>
      </c>
      <c r="BJ944" t="s">
        <v>12532</v>
      </c>
      <c r="BK944" t="s">
        <v>12345</v>
      </c>
      <c r="BL944" t="s">
        <v>12533</v>
      </c>
      <c r="BM944" t="s">
        <v>12534</v>
      </c>
      <c r="BN944" t="s">
        <v>74</v>
      </c>
      <c r="BO944" t="s">
        <v>74</v>
      </c>
      <c r="BP944" t="s">
        <v>74</v>
      </c>
      <c r="BQ944" t="s">
        <v>74</v>
      </c>
      <c r="BR944" t="s">
        <v>91</v>
      </c>
      <c r="BS944" t="s">
        <v>12535</v>
      </c>
      <c r="BT944" t="str">
        <f>HYPERLINK("https%3A%2F%2Fwww.webofscience.com%2Fwos%2Fwoscc%2Ffull-record%2FWOS:000171891800139","View Full Record in Web of Science")</f>
        <v>View Full Record in Web of Science</v>
      </c>
    </row>
    <row r="945" spans="1:72" x14ac:dyDescent="0.15">
      <c r="A945" t="s">
        <v>298</v>
      </c>
      <c r="B945" t="s">
        <v>12536</v>
      </c>
      <c r="C945" t="s">
        <v>74</v>
      </c>
      <c r="D945" t="s">
        <v>12537</v>
      </c>
      <c r="E945" t="s">
        <v>74</v>
      </c>
      <c r="F945" t="s">
        <v>12536</v>
      </c>
      <c r="G945" t="s">
        <v>74</v>
      </c>
      <c r="H945" t="s">
        <v>74</v>
      </c>
      <c r="I945" t="s">
        <v>12538</v>
      </c>
      <c r="J945" t="s">
        <v>12539</v>
      </c>
      <c r="K945" t="s">
        <v>12479</v>
      </c>
      <c r="L945" t="s">
        <v>74</v>
      </c>
      <c r="M945" t="s">
        <v>77</v>
      </c>
      <c r="N945" t="s">
        <v>435</v>
      </c>
      <c r="O945" t="s">
        <v>12540</v>
      </c>
      <c r="P945" t="s">
        <v>12481</v>
      </c>
      <c r="Q945" t="s">
        <v>12482</v>
      </c>
      <c r="R945" t="s">
        <v>74</v>
      </c>
      <c r="S945" t="s">
        <v>74</v>
      </c>
      <c r="T945" t="s">
        <v>74</v>
      </c>
      <c r="U945" t="s">
        <v>12541</v>
      </c>
      <c r="V945" t="s">
        <v>12542</v>
      </c>
      <c r="W945" t="s">
        <v>12543</v>
      </c>
      <c r="X945" t="s">
        <v>12544</v>
      </c>
      <c r="Y945" t="s">
        <v>12545</v>
      </c>
      <c r="Z945" t="s">
        <v>74</v>
      </c>
      <c r="AA945" t="s">
        <v>12546</v>
      </c>
      <c r="AB945" t="s">
        <v>12547</v>
      </c>
      <c r="AC945" t="s">
        <v>74</v>
      </c>
      <c r="AD945" t="s">
        <v>74</v>
      </c>
      <c r="AE945" t="s">
        <v>74</v>
      </c>
      <c r="AF945" t="s">
        <v>74</v>
      </c>
      <c r="AG945">
        <v>15</v>
      </c>
      <c r="AH945">
        <v>4</v>
      </c>
      <c r="AI945">
        <v>6</v>
      </c>
      <c r="AJ945">
        <v>0</v>
      </c>
      <c r="AK945">
        <v>2</v>
      </c>
      <c r="AL945" t="s">
        <v>488</v>
      </c>
      <c r="AM945" t="s">
        <v>350</v>
      </c>
      <c r="AN945" t="s">
        <v>12488</v>
      </c>
      <c r="AO945" t="s">
        <v>12489</v>
      </c>
      <c r="AP945" t="s">
        <v>74</v>
      </c>
      <c r="AQ945" t="s">
        <v>74</v>
      </c>
      <c r="AR945" t="s">
        <v>12490</v>
      </c>
      <c r="AS945" t="s">
        <v>74</v>
      </c>
      <c r="AT945" t="s">
        <v>74</v>
      </c>
      <c r="AU945">
        <v>2001</v>
      </c>
      <c r="AV945">
        <v>27</v>
      </c>
      <c r="AW945" t="s">
        <v>12548</v>
      </c>
      <c r="AX945" t="s">
        <v>74</v>
      </c>
      <c r="AY945" t="s">
        <v>74</v>
      </c>
      <c r="AZ945" t="s">
        <v>74</v>
      </c>
      <c r="BA945" t="s">
        <v>74</v>
      </c>
      <c r="BB945">
        <v>1283</v>
      </c>
      <c r="BC945">
        <v>1288</v>
      </c>
      <c r="BD945" t="s">
        <v>74</v>
      </c>
      <c r="BE945" t="s">
        <v>12549</v>
      </c>
      <c r="BF945" t="str">
        <f>HYPERLINK("http://dx.doi.org/10.1016/S0273-1177(01)00204-6","http://dx.doi.org/10.1016/S0273-1177(01)00204-6")</f>
        <v>http://dx.doi.org/10.1016/S0273-1177(01)00204-6</v>
      </c>
      <c r="BG945" t="s">
        <v>74</v>
      </c>
      <c r="BH945" t="s">
        <v>74</v>
      </c>
      <c r="BI945">
        <v>6</v>
      </c>
      <c r="BJ945" t="s">
        <v>12492</v>
      </c>
      <c r="BK945" t="s">
        <v>453</v>
      </c>
      <c r="BL945" t="s">
        <v>12493</v>
      </c>
      <c r="BM945" t="s">
        <v>12550</v>
      </c>
      <c r="BN945" t="s">
        <v>74</v>
      </c>
      <c r="BO945" t="s">
        <v>74</v>
      </c>
      <c r="BP945" t="s">
        <v>74</v>
      </c>
      <c r="BQ945" t="s">
        <v>74</v>
      </c>
      <c r="BR945" t="s">
        <v>91</v>
      </c>
      <c r="BS945" t="s">
        <v>12551</v>
      </c>
      <c r="BT945" t="str">
        <f>HYPERLINK("https%3A%2F%2Fwww.webofscience.com%2Fwos%2Fwoscc%2Ffull-record%2FWOS:000171630300035","View Full Record in Web of Science")</f>
        <v>View Full Record in Web of Science</v>
      </c>
    </row>
    <row r="946" spans="1:72" x14ac:dyDescent="0.15">
      <c r="A946" t="s">
        <v>72</v>
      </c>
      <c r="B946" t="s">
        <v>12552</v>
      </c>
      <c r="C946" t="s">
        <v>74</v>
      </c>
      <c r="D946" t="s">
        <v>74</v>
      </c>
      <c r="E946" t="s">
        <v>74</v>
      </c>
      <c r="F946" t="s">
        <v>12552</v>
      </c>
      <c r="G946" t="s">
        <v>74</v>
      </c>
      <c r="H946" t="s">
        <v>74</v>
      </c>
      <c r="I946" t="s">
        <v>12553</v>
      </c>
      <c r="J946" t="s">
        <v>12554</v>
      </c>
      <c r="K946" t="s">
        <v>74</v>
      </c>
      <c r="L946" t="s">
        <v>74</v>
      </c>
      <c r="M946" t="s">
        <v>3480</v>
      </c>
      <c r="N946" t="s">
        <v>120</v>
      </c>
      <c r="O946" t="s">
        <v>74</v>
      </c>
      <c r="P946" t="s">
        <v>74</v>
      </c>
      <c r="Q946" t="s">
        <v>74</v>
      </c>
      <c r="R946" t="s">
        <v>74</v>
      </c>
      <c r="S946" t="s">
        <v>74</v>
      </c>
      <c r="T946" t="s">
        <v>12555</v>
      </c>
      <c r="U946" t="s">
        <v>12556</v>
      </c>
      <c r="V946" t="s">
        <v>12557</v>
      </c>
      <c r="W946" t="s">
        <v>12558</v>
      </c>
      <c r="X946" t="s">
        <v>12559</v>
      </c>
      <c r="Y946" t="s">
        <v>12560</v>
      </c>
      <c r="Z946" t="s">
        <v>12561</v>
      </c>
      <c r="AA946" t="s">
        <v>74</v>
      </c>
      <c r="AB946" t="s">
        <v>74</v>
      </c>
      <c r="AC946" t="s">
        <v>74</v>
      </c>
      <c r="AD946" t="s">
        <v>74</v>
      </c>
      <c r="AE946" t="s">
        <v>74</v>
      </c>
      <c r="AF946" t="s">
        <v>74</v>
      </c>
      <c r="AG946">
        <v>37</v>
      </c>
      <c r="AH946">
        <v>1</v>
      </c>
      <c r="AI946">
        <v>1</v>
      </c>
      <c r="AJ946">
        <v>0</v>
      </c>
      <c r="AK946">
        <v>11</v>
      </c>
      <c r="AL946" t="s">
        <v>12562</v>
      </c>
      <c r="AM946" t="s">
        <v>4307</v>
      </c>
      <c r="AN946" t="s">
        <v>12563</v>
      </c>
      <c r="AO946" t="s">
        <v>12564</v>
      </c>
      <c r="AP946" t="s">
        <v>12565</v>
      </c>
      <c r="AQ946" t="s">
        <v>74</v>
      </c>
      <c r="AR946" t="s">
        <v>12554</v>
      </c>
      <c r="AS946" t="s">
        <v>12566</v>
      </c>
      <c r="AT946" t="s">
        <v>12567</v>
      </c>
      <c r="AU946">
        <v>2001</v>
      </c>
      <c r="AV946">
        <v>57</v>
      </c>
      <c r="AW946">
        <v>491</v>
      </c>
      <c r="AX946" t="s">
        <v>74</v>
      </c>
      <c r="AY946" t="s">
        <v>74</v>
      </c>
      <c r="AZ946" t="s">
        <v>74</v>
      </c>
      <c r="BA946" t="s">
        <v>74</v>
      </c>
      <c r="BB946">
        <v>49</v>
      </c>
      <c r="BC946">
        <v>53</v>
      </c>
      <c r="BD946" t="s">
        <v>74</v>
      </c>
      <c r="BE946" t="s">
        <v>74</v>
      </c>
      <c r="BF946" t="s">
        <v>74</v>
      </c>
      <c r="BG946" t="s">
        <v>74</v>
      </c>
      <c r="BH946" t="s">
        <v>74</v>
      </c>
      <c r="BI946">
        <v>5</v>
      </c>
      <c r="BJ946" t="s">
        <v>1761</v>
      </c>
      <c r="BK946" t="s">
        <v>88</v>
      </c>
      <c r="BL946" t="s">
        <v>517</v>
      </c>
      <c r="BM946" t="s">
        <v>12568</v>
      </c>
      <c r="BN946" t="s">
        <v>74</v>
      </c>
      <c r="BO946" t="s">
        <v>74</v>
      </c>
      <c r="BP946" t="s">
        <v>74</v>
      </c>
      <c r="BQ946" t="s">
        <v>74</v>
      </c>
      <c r="BR946" t="s">
        <v>91</v>
      </c>
      <c r="BS946" t="s">
        <v>12569</v>
      </c>
      <c r="BT946" t="str">
        <f>HYPERLINK("https%3A%2F%2Fwww.webofscience.com%2Fwos%2Fwoscc%2Ffull-record%2FWOS:000168230700010","View Full Record in Web of Science")</f>
        <v>View Full Record in Web of Science</v>
      </c>
    </row>
    <row r="947" spans="1:72" x14ac:dyDescent="0.15">
      <c r="A947" t="s">
        <v>72</v>
      </c>
      <c r="B947" t="s">
        <v>12570</v>
      </c>
      <c r="C947" t="s">
        <v>74</v>
      </c>
      <c r="D947" t="s">
        <v>74</v>
      </c>
      <c r="E947" t="s">
        <v>74</v>
      </c>
      <c r="F947" t="s">
        <v>12570</v>
      </c>
      <c r="G947" t="s">
        <v>74</v>
      </c>
      <c r="H947" t="s">
        <v>74</v>
      </c>
      <c r="I947" t="s">
        <v>12571</v>
      </c>
      <c r="J947" t="s">
        <v>12572</v>
      </c>
      <c r="K947" t="s">
        <v>74</v>
      </c>
      <c r="L947" t="s">
        <v>74</v>
      </c>
      <c r="M947" t="s">
        <v>77</v>
      </c>
      <c r="N947" t="s">
        <v>120</v>
      </c>
      <c r="O947" t="s">
        <v>74</v>
      </c>
      <c r="P947" t="s">
        <v>74</v>
      </c>
      <c r="Q947" t="s">
        <v>74</v>
      </c>
      <c r="R947" t="s">
        <v>74</v>
      </c>
      <c r="S947" t="s">
        <v>74</v>
      </c>
      <c r="T947" t="s">
        <v>12573</v>
      </c>
      <c r="U947" t="s">
        <v>12574</v>
      </c>
      <c r="V947" t="s">
        <v>12575</v>
      </c>
      <c r="W947" t="s">
        <v>1103</v>
      </c>
      <c r="X947" t="s">
        <v>462</v>
      </c>
      <c r="Y947" t="s">
        <v>12576</v>
      </c>
      <c r="Z947" t="s">
        <v>74</v>
      </c>
      <c r="AA947" t="s">
        <v>74</v>
      </c>
      <c r="AB947" t="s">
        <v>74</v>
      </c>
      <c r="AC947" t="s">
        <v>74</v>
      </c>
      <c r="AD947" t="s">
        <v>74</v>
      </c>
      <c r="AE947" t="s">
        <v>74</v>
      </c>
      <c r="AF947" t="s">
        <v>74</v>
      </c>
      <c r="AG947">
        <v>25</v>
      </c>
      <c r="AH947">
        <v>22</v>
      </c>
      <c r="AI947">
        <v>22</v>
      </c>
      <c r="AJ947">
        <v>0</v>
      </c>
      <c r="AK947">
        <v>0</v>
      </c>
      <c r="AL947" t="s">
        <v>203</v>
      </c>
      <c r="AM947" t="s">
        <v>204</v>
      </c>
      <c r="AN947" t="s">
        <v>205</v>
      </c>
      <c r="AO947" t="s">
        <v>5728</v>
      </c>
      <c r="AP947" t="s">
        <v>74</v>
      </c>
      <c r="AQ947" t="s">
        <v>74</v>
      </c>
      <c r="AR947" t="s">
        <v>12577</v>
      </c>
      <c r="AS947" t="s">
        <v>12578</v>
      </c>
      <c r="AT947" t="s">
        <v>12472</v>
      </c>
      <c r="AU947">
        <v>2001</v>
      </c>
      <c r="AV947">
        <v>18</v>
      </c>
      <c r="AW947">
        <v>12</v>
      </c>
      <c r="AX947" t="s">
        <v>74</v>
      </c>
      <c r="AY947" t="s">
        <v>74</v>
      </c>
      <c r="AZ947" t="s">
        <v>74</v>
      </c>
      <c r="BA947" t="s">
        <v>74</v>
      </c>
      <c r="BB947">
        <v>1523</v>
      </c>
      <c r="BC947">
        <v>1530</v>
      </c>
      <c r="BD947" t="s">
        <v>74</v>
      </c>
      <c r="BE947" t="s">
        <v>12579</v>
      </c>
      <c r="BF947" t="str">
        <f>HYPERLINK("http://dx.doi.org/10.1007/s00585-001-1523-2","http://dx.doi.org/10.1007/s00585-001-1523-2")</f>
        <v>http://dx.doi.org/10.1007/s00585-001-1523-2</v>
      </c>
      <c r="BG947" t="s">
        <v>74</v>
      </c>
      <c r="BH947" t="s">
        <v>74</v>
      </c>
      <c r="BI947">
        <v>8</v>
      </c>
      <c r="BJ947" t="s">
        <v>5732</v>
      </c>
      <c r="BK947" t="s">
        <v>88</v>
      </c>
      <c r="BL947" t="s">
        <v>5733</v>
      </c>
      <c r="BM947" t="s">
        <v>12580</v>
      </c>
      <c r="BN947" t="s">
        <v>74</v>
      </c>
      <c r="BO947" t="s">
        <v>12581</v>
      </c>
      <c r="BP947" t="s">
        <v>74</v>
      </c>
      <c r="BQ947" t="s">
        <v>74</v>
      </c>
      <c r="BR947" t="s">
        <v>91</v>
      </c>
      <c r="BS947" t="s">
        <v>12582</v>
      </c>
      <c r="BT947" t="str">
        <f>HYPERLINK("https%3A%2F%2Fwww.webofscience.com%2Fwos%2Fwoscc%2Ffull-record%2FWOS:000166823500002","View Full Record in Web of Science")</f>
        <v>View Full Record in Web of Science</v>
      </c>
    </row>
    <row r="948" spans="1:72" x14ac:dyDescent="0.15">
      <c r="A948" t="s">
        <v>298</v>
      </c>
      <c r="B948" t="s">
        <v>12583</v>
      </c>
      <c r="C948" t="s">
        <v>74</v>
      </c>
      <c r="D948" t="s">
        <v>12584</v>
      </c>
      <c r="E948" t="s">
        <v>74</v>
      </c>
      <c r="F948" t="s">
        <v>12583</v>
      </c>
      <c r="G948" t="s">
        <v>74</v>
      </c>
      <c r="H948" t="s">
        <v>74</v>
      </c>
      <c r="I948" t="s">
        <v>12585</v>
      </c>
      <c r="J948" t="s">
        <v>12586</v>
      </c>
      <c r="K948" t="s">
        <v>12587</v>
      </c>
      <c r="L948" t="s">
        <v>74</v>
      </c>
      <c r="M948" t="s">
        <v>77</v>
      </c>
      <c r="N948" t="s">
        <v>435</v>
      </c>
      <c r="O948" t="s">
        <v>12588</v>
      </c>
      <c r="P948" t="s">
        <v>12589</v>
      </c>
      <c r="Q948" t="s">
        <v>806</v>
      </c>
      <c r="R948" t="s">
        <v>74</v>
      </c>
      <c r="S948" t="s">
        <v>74</v>
      </c>
      <c r="T948" t="s">
        <v>74</v>
      </c>
      <c r="U948" t="s">
        <v>12590</v>
      </c>
      <c r="V948" t="s">
        <v>12591</v>
      </c>
      <c r="W948" t="s">
        <v>12592</v>
      </c>
      <c r="X948" t="s">
        <v>12593</v>
      </c>
      <c r="Y948" t="s">
        <v>12594</v>
      </c>
      <c r="Z948" t="s">
        <v>74</v>
      </c>
      <c r="AA948" t="s">
        <v>74</v>
      </c>
      <c r="AB948" t="s">
        <v>2859</v>
      </c>
      <c r="AC948" t="s">
        <v>74</v>
      </c>
      <c r="AD948" t="s">
        <v>74</v>
      </c>
      <c r="AE948" t="s">
        <v>74</v>
      </c>
      <c r="AF948" t="s">
        <v>74</v>
      </c>
      <c r="AG948">
        <v>24</v>
      </c>
      <c r="AH948">
        <v>12</v>
      </c>
      <c r="AI948">
        <v>13</v>
      </c>
      <c r="AJ948">
        <v>2</v>
      </c>
      <c r="AK948">
        <v>10</v>
      </c>
      <c r="AL948" t="s">
        <v>12595</v>
      </c>
      <c r="AM948" t="s">
        <v>1226</v>
      </c>
      <c r="AN948" t="s">
        <v>12596</v>
      </c>
      <c r="AO948" t="s">
        <v>12597</v>
      </c>
      <c r="AP948" t="s">
        <v>74</v>
      </c>
      <c r="AQ948" t="s">
        <v>12598</v>
      </c>
      <c r="AR948" t="s">
        <v>12599</v>
      </c>
      <c r="AS948" t="s">
        <v>74</v>
      </c>
      <c r="AT948" t="s">
        <v>74</v>
      </c>
      <c r="AU948">
        <v>2001</v>
      </c>
      <c r="AV948">
        <v>32</v>
      </c>
      <c r="AW948" t="s">
        <v>74</v>
      </c>
      <c r="AX948" t="s">
        <v>74</v>
      </c>
      <c r="AY948" t="s">
        <v>74</v>
      </c>
      <c r="AZ948" t="s">
        <v>74</v>
      </c>
      <c r="BA948" t="s">
        <v>74</v>
      </c>
      <c r="BB948">
        <v>168</v>
      </c>
      <c r="BC948">
        <v>174</v>
      </c>
      <c r="BD948" t="s">
        <v>74</v>
      </c>
      <c r="BE948" t="s">
        <v>12600</v>
      </c>
      <c r="BF948" t="str">
        <f>HYPERLINK("http://dx.doi.org/10.3189/172756401781819076","http://dx.doi.org/10.3189/172756401781819076")</f>
        <v>http://dx.doi.org/10.3189/172756401781819076</v>
      </c>
      <c r="BG948" t="s">
        <v>74</v>
      </c>
      <c r="BH948" t="s">
        <v>74</v>
      </c>
      <c r="BI948">
        <v>7</v>
      </c>
      <c r="BJ948" t="s">
        <v>300</v>
      </c>
      <c r="BK948" t="s">
        <v>453</v>
      </c>
      <c r="BL948" t="s">
        <v>113</v>
      </c>
      <c r="BM948" t="s">
        <v>12601</v>
      </c>
      <c r="BN948" t="s">
        <v>74</v>
      </c>
      <c r="BO948" t="s">
        <v>171</v>
      </c>
      <c r="BP948" t="s">
        <v>74</v>
      </c>
      <c r="BQ948" t="s">
        <v>74</v>
      </c>
      <c r="BR948" t="s">
        <v>91</v>
      </c>
      <c r="BS948" t="s">
        <v>12602</v>
      </c>
      <c r="BT948" t="str">
        <f>HYPERLINK("https%3A%2F%2Fwww.webofscience.com%2Fwos%2Fwoscc%2Ffull-record%2FWOS:000171277900029","View Full Record in Web of Science")</f>
        <v>View Full Record in Web of Science</v>
      </c>
    </row>
    <row r="949" spans="1:72" x14ac:dyDescent="0.15">
      <c r="A949" t="s">
        <v>298</v>
      </c>
      <c r="B949" t="s">
        <v>12603</v>
      </c>
      <c r="C949" t="s">
        <v>74</v>
      </c>
      <c r="D949" t="s">
        <v>12604</v>
      </c>
      <c r="E949" t="s">
        <v>74</v>
      </c>
      <c r="F949" t="s">
        <v>12603</v>
      </c>
      <c r="G949" t="s">
        <v>74</v>
      </c>
      <c r="H949" t="s">
        <v>74</v>
      </c>
      <c r="I949" t="s">
        <v>12605</v>
      </c>
      <c r="J949" t="s">
        <v>12606</v>
      </c>
      <c r="K949" t="s">
        <v>12587</v>
      </c>
      <c r="L949" t="s">
        <v>74</v>
      </c>
      <c r="M949" t="s">
        <v>77</v>
      </c>
      <c r="N949" t="s">
        <v>435</v>
      </c>
      <c r="O949" t="s">
        <v>12607</v>
      </c>
      <c r="P949" t="s">
        <v>12608</v>
      </c>
      <c r="Q949" t="s">
        <v>12609</v>
      </c>
      <c r="R949" t="s">
        <v>74</v>
      </c>
      <c r="S949" t="s">
        <v>12610</v>
      </c>
      <c r="T949" t="s">
        <v>74</v>
      </c>
      <c r="U949" t="s">
        <v>12611</v>
      </c>
      <c r="V949" t="s">
        <v>12612</v>
      </c>
      <c r="W949" t="s">
        <v>12613</v>
      </c>
      <c r="X949" t="s">
        <v>12614</v>
      </c>
      <c r="Y949" t="s">
        <v>12615</v>
      </c>
      <c r="Z949" t="s">
        <v>74</v>
      </c>
      <c r="AA949" t="s">
        <v>74</v>
      </c>
      <c r="AB949" t="s">
        <v>74</v>
      </c>
      <c r="AC949" t="s">
        <v>74</v>
      </c>
      <c r="AD949" t="s">
        <v>74</v>
      </c>
      <c r="AE949" t="s">
        <v>74</v>
      </c>
      <c r="AF949" t="s">
        <v>74</v>
      </c>
      <c r="AG949">
        <v>82</v>
      </c>
      <c r="AH949">
        <v>30</v>
      </c>
      <c r="AI949">
        <v>37</v>
      </c>
      <c r="AJ949">
        <v>2</v>
      </c>
      <c r="AK949">
        <v>22</v>
      </c>
      <c r="AL949" t="s">
        <v>12595</v>
      </c>
      <c r="AM949" t="s">
        <v>1226</v>
      </c>
      <c r="AN949" t="s">
        <v>12596</v>
      </c>
      <c r="AO949" t="s">
        <v>12597</v>
      </c>
      <c r="AP949" t="s">
        <v>74</v>
      </c>
      <c r="AQ949" t="s">
        <v>12616</v>
      </c>
      <c r="AR949" t="s">
        <v>12599</v>
      </c>
      <c r="AS949" t="s">
        <v>74</v>
      </c>
      <c r="AT949" t="s">
        <v>74</v>
      </c>
      <c r="AU949">
        <v>2001</v>
      </c>
      <c r="AV949">
        <v>33</v>
      </c>
      <c r="AW949" t="s">
        <v>74</v>
      </c>
      <c r="AX949" t="s">
        <v>74</v>
      </c>
      <c r="AY949" t="s">
        <v>74</v>
      </c>
      <c r="AZ949" t="s">
        <v>74</v>
      </c>
      <c r="BA949" t="s">
        <v>74</v>
      </c>
      <c r="BB949">
        <v>28</v>
      </c>
      <c r="BC949">
        <v>36</v>
      </c>
      <c r="BD949" t="s">
        <v>74</v>
      </c>
      <c r="BE949" t="s">
        <v>12617</v>
      </c>
      <c r="BF949" t="str">
        <f>HYPERLINK("http://dx.doi.org/10.3189/172756401781818329","http://dx.doi.org/10.3189/172756401781818329")</f>
        <v>http://dx.doi.org/10.3189/172756401781818329</v>
      </c>
      <c r="BG949" t="s">
        <v>74</v>
      </c>
      <c r="BH949" t="s">
        <v>74</v>
      </c>
      <c r="BI949">
        <v>9</v>
      </c>
      <c r="BJ949" t="s">
        <v>300</v>
      </c>
      <c r="BK949" t="s">
        <v>453</v>
      </c>
      <c r="BL949" t="s">
        <v>113</v>
      </c>
      <c r="BM949" t="s">
        <v>12618</v>
      </c>
      <c r="BN949" t="s">
        <v>74</v>
      </c>
      <c r="BO949" t="s">
        <v>171</v>
      </c>
      <c r="BP949" t="s">
        <v>74</v>
      </c>
      <c r="BQ949" t="s">
        <v>74</v>
      </c>
      <c r="BR949" t="s">
        <v>91</v>
      </c>
      <c r="BS949" t="s">
        <v>12619</v>
      </c>
      <c r="BT949" t="str">
        <f>HYPERLINK("https%3A%2F%2Fwww.webofscience.com%2Fwos%2Fwoscc%2Ffull-record%2FWOS:000173446300005","View Full Record in Web of Science")</f>
        <v>View Full Record in Web of Science</v>
      </c>
    </row>
    <row r="950" spans="1:72" x14ac:dyDescent="0.15">
      <c r="A950" t="s">
        <v>298</v>
      </c>
      <c r="B950" t="s">
        <v>12620</v>
      </c>
      <c r="C950" t="s">
        <v>74</v>
      </c>
      <c r="D950" t="s">
        <v>12604</v>
      </c>
      <c r="E950" t="s">
        <v>74</v>
      </c>
      <c r="F950" t="s">
        <v>12620</v>
      </c>
      <c r="G950" t="s">
        <v>74</v>
      </c>
      <c r="H950" t="s">
        <v>74</v>
      </c>
      <c r="I950" t="s">
        <v>12621</v>
      </c>
      <c r="J950" t="s">
        <v>12606</v>
      </c>
      <c r="K950" t="s">
        <v>12587</v>
      </c>
      <c r="L950" t="s">
        <v>74</v>
      </c>
      <c r="M950" t="s">
        <v>77</v>
      </c>
      <c r="N950" t="s">
        <v>435</v>
      </c>
      <c r="O950" t="s">
        <v>12607</v>
      </c>
      <c r="P950" t="s">
        <v>12608</v>
      </c>
      <c r="Q950" t="s">
        <v>12609</v>
      </c>
      <c r="R950" t="s">
        <v>74</v>
      </c>
      <c r="S950" t="s">
        <v>12610</v>
      </c>
      <c r="T950" t="s">
        <v>74</v>
      </c>
      <c r="U950" t="s">
        <v>12622</v>
      </c>
      <c r="V950" t="s">
        <v>12623</v>
      </c>
      <c r="W950" t="s">
        <v>12624</v>
      </c>
      <c r="X950" t="s">
        <v>12625</v>
      </c>
      <c r="Y950" t="s">
        <v>12626</v>
      </c>
      <c r="Z950" t="s">
        <v>74</v>
      </c>
      <c r="AA950" t="s">
        <v>74</v>
      </c>
      <c r="AB950" t="s">
        <v>74</v>
      </c>
      <c r="AC950" t="s">
        <v>74</v>
      </c>
      <c r="AD950" t="s">
        <v>74</v>
      </c>
      <c r="AE950" t="s">
        <v>74</v>
      </c>
      <c r="AF950" t="s">
        <v>74</v>
      </c>
      <c r="AG950">
        <v>26</v>
      </c>
      <c r="AH950">
        <v>16</v>
      </c>
      <c r="AI950">
        <v>18</v>
      </c>
      <c r="AJ950">
        <v>0</v>
      </c>
      <c r="AK950">
        <v>3</v>
      </c>
      <c r="AL950" t="s">
        <v>12595</v>
      </c>
      <c r="AM950" t="s">
        <v>1226</v>
      </c>
      <c r="AN950" t="s">
        <v>12596</v>
      </c>
      <c r="AO950" t="s">
        <v>12597</v>
      </c>
      <c r="AP950" t="s">
        <v>74</v>
      </c>
      <c r="AQ950" t="s">
        <v>12616</v>
      </c>
      <c r="AR950" t="s">
        <v>12599</v>
      </c>
      <c r="AS950" t="s">
        <v>74</v>
      </c>
      <c r="AT950" t="s">
        <v>74</v>
      </c>
      <c r="AU950">
        <v>2001</v>
      </c>
      <c r="AV950">
        <v>33</v>
      </c>
      <c r="AW950" t="s">
        <v>74</v>
      </c>
      <c r="AX950" t="s">
        <v>74</v>
      </c>
      <c r="AY950" t="s">
        <v>74</v>
      </c>
      <c r="AZ950" t="s">
        <v>74</v>
      </c>
      <c r="BA950" t="s">
        <v>74</v>
      </c>
      <c r="BB950">
        <v>37</v>
      </c>
      <c r="BC950">
        <v>44</v>
      </c>
      <c r="BD950" t="s">
        <v>74</v>
      </c>
      <c r="BE950" t="s">
        <v>12627</v>
      </c>
      <c r="BF950" t="str">
        <f>HYPERLINK("http://dx.doi.org/10.3189/172756401781818860","http://dx.doi.org/10.3189/172756401781818860")</f>
        <v>http://dx.doi.org/10.3189/172756401781818860</v>
      </c>
      <c r="BG950" t="s">
        <v>74</v>
      </c>
      <c r="BH950" t="s">
        <v>74</v>
      </c>
      <c r="BI950">
        <v>8</v>
      </c>
      <c r="BJ950" t="s">
        <v>300</v>
      </c>
      <c r="BK950" t="s">
        <v>453</v>
      </c>
      <c r="BL950" t="s">
        <v>113</v>
      </c>
      <c r="BM950" t="s">
        <v>12618</v>
      </c>
      <c r="BN950" t="s">
        <v>74</v>
      </c>
      <c r="BO950" t="s">
        <v>171</v>
      </c>
      <c r="BP950" t="s">
        <v>74</v>
      </c>
      <c r="BQ950" t="s">
        <v>74</v>
      </c>
      <c r="BR950" t="s">
        <v>91</v>
      </c>
      <c r="BS950" t="s">
        <v>12628</v>
      </c>
      <c r="BT950" t="str">
        <f>HYPERLINK("https%3A%2F%2Fwww.webofscience.com%2Fwos%2Fwoscc%2Ffull-record%2FWOS:000173446300006","View Full Record in Web of Science")</f>
        <v>View Full Record in Web of Science</v>
      </c>
    </row>
    <row r="951" spans="1:72" x14ac:dyDescent="0.15">
      <c r="A951" t="s">
        <v>298</v>
      </c>
      <c r="B951" t="s">
        <v>12629</v>
      </c>
      <c r="C951" t="s">
        <v>74</v>
      </c>
      <c r="D951" t="s">
        <v>12604</v>
      </c>
      <c r="E951" t="s">
        <v>74</v>
      </c>
      <c r="F951" t="s">
        <v>12629</v>
      </c>
      <c r="G951" t="s">
        <v>74</v>
      </c>
      <c r="H951" t="s">
        <v>74</v>
      </c>
      <c r="I951" t="s">
        <v>12630</v>
      </c>
      <c r="J951" t="s">
        <v>12606</v>
      </c>
      <c r="K951" t="s">
        <v>12587</v>
      </c>
      <c r="L951" t="s">
        <v>74</v>
      </c>
      <c r="M951" t="s">
        <v>77</v>
      </c>
      <c r="N951" t="s">
        <v>435</v>
      </c>
      <c r="O951" t="s">
        <v>12607</v>
      </c>
      <c r="P951" t="s">
        <v>12608</v>
      </c>
      <c r="Q951" t="s">
        <v>12609</v>
      </c>
      <c r="R951" t="s">
        <v>74</v>
      </c>
      <c r="S951" t="s">
        <v>12610</v>
      </c>
      <c r="T951" t="s">
        <v>74</v>
      </c>
      <c r="U951" t="s">
        <v>12631</v>
      </c>
      <c r="V951" t="s">
        <v>12632</v>
      </c>
      <c r="W951" t="s">
        <v>12633</v>
      </c>
      <c r="X951" t="s">
        <v>12634</v>
      </c>
      <c r="Y951" t="s">
        <v>12635</v>
      </c>
      <c r="Z951" t="s">
        <v>74</v>
      </c>
      <c r="AA951" t="s">
        <v>74</v>
      </c>
      <c r="AB951" t="s">
        <v>74</v>
      </c>
      <c r="AC951" t="s">
        <v>74</v>
      </c>
      <c r="AD951" t="s">
        <v>74</v>
      </c>
      <c r="AE951" t="s">
        <v>74</v>
      </c>
      <c r="AF951" t="s">
        <v>74</v>
      </c>
      <c r="AG951">
        <v>19</v>
      </c>
      <c r="AH951">
        <v>18</v>
      </c>
      <c r="AI951">
        <v>20</v>
      </c>
      <c r="AJ951">
        <v>0</v>
      </c>
      <c r="AK951">
        <v>6</v>
      </c>
      <c r="AL951" t="s">
        <v>12595</v>
      </c>
      <c r="AM951" t="s">
        <v>1226</v>
      </c>
      <c r="AN951" t="s">
        <v>12596</v>
      </c>
      <c r="AO951" t="s">
        <v>12597</v>
      </c>
      <c r="AP951" t="s">
        <v>74</v>
      </c>
      <c r="AQ951" t="s">
        <v>12616</v>
      </c>
      <c r="AR951" t="s">
        <v>12599</v>
      </c>
      <c r="AS951" t="s">
        <v>74</v>
      </c>
      <c r="AT951" t="s">
        <v>74</v>
      </c>
      <c r="AU951">
        <v>2001</v>
      </c>
      <c r="AV951">
        <v>33</v>
      </c>
      <c r="AW951" t="s">
        <v>74</v>
      </c>
      <c r="AX951" t="s">
        <v>74</v>
      </c>
      <c r="AY951" t="s">
        <v>74</v>
      </c>
      <c r="AZ951" t="s">
        <v>74</v>
      </c>
      <c r="BA951" t="s">
        <v>74</v>
      </c>
      <c r="BB951">
        <v>45</v>
      </c>
      <c r="BC951">
        <v>50</v>
      </c>
      <c r="BD951" t="s">
        <v>74</v>
      </c>
      <c r="BE951" t="s">
        <v>12636</v>
      </c>
      <c r="BF951" t="str">
        <f>HYPERLINK("http://dx.doi.org/10.3189/172756401781818752","http://dx.doi.org/10.3189/172756401781818752")</f>
        <v>http://dx.doi.org/10.3189/172756401781818752</v>
      </c>
      <c r="BG951" t="s">
        <v>74</v>
      </c>
      <c r="BH951" t="s">
        <v>74</v>
      </c>
      <c r="BI951">
        <v>6</v>
      </c>
      <c r="BJ951" t="s">
        <v>300</v>
      </c>
      <c r="BK951" t="s">
        <v>453</v>
      </c>
      <c r="BL951" t="s">
        <v>113</v>
      </c>
      <c r="BM951" t="s">
        <v>12618</v>
      </c>
      <c r="BN951" t="s">
        <v>74</v>
      </c>
      <c r="BO951" t="s">
        <v>171</v>
      </c>
      <c r="BP951" t="s">
        <v>74</v>
      </c>
      <c r="BQ951" t="s">
        <v>74</v>
      </c>
      <c r="BR951" t="s">
        <v>91</v>
      </c>
      <c r="BS951" t="s">
        <v>12637</v>
      </c>
      <c r="BT951" t="str">
        <f>HYPERLINK("https%3A%2F%2Fwww.webofscience.com%2Fwos%2Fwoscc%2Ffull-record%2FWOS:000173446300007","View Full Record in Web of Science")</f>
        <v>View Full Record in Web of Science</v>
      </c>
    </row>
    <row r="952" spans="1:72" x14ac:dyDescent="0.15">
      <c r="A952" t="s">
        <v>298</v>
      </c>
      <c r="B952" t="s">
        <v>12638</v>
      </c>
      <c r="C952" t="s">
        <v>74</v>
      </c>
      <c r="D952" t="s">
        <v>12604</v>
      </c>
      <c r="E952" t="s">
        <v>74</v>
      </c>
      <c r="F952" t="s">
        <v>12638</v>
      </c>
      <c r="G952" t="s">
        <v>74</v>
      </c>
      <c r="H952" t="s">
        <v>74</v>
      </c>
      <c r="I952" t="s">
        <v>12639</v>
      </c>
      <c r="J952" t="s">
        <v>12606</v>
      </c>
      <c r="K952" t="s">
        <v>12587</v>
      </c>
      <c r="L952" t="s">
        <v>74</v>
      </c>
      <c r="M952" t="s">
        <v>77</v>
      </c>
      <c r="N952" t="s">
        <v>435</v>
      </c>
      <c r="O952" t="s">
        <v>12607</v>
      </c>
      <c r="P952" t="s">
        <v>12608</v>
      </c>
      <c r="Q952" t="s">
        <v>12609</v>
      </c>
      <c r="R952" t="s">
        <v>74</v>
      </c>
      <c r="S952" t="s">
        <v>12610</v>
      </c>
      <c r="T952" t="s">
        <v>74</v>
      </c>
      <c r="U952" t="s">
        <v>12640</v>
      </c>
      <c r="V952" t="s">
        <v>12641</v>
      </c>
      <c r="W952" t="s">
        <v>12642</v>
      </c>
      <c r="X952" t="s">
        <v>12643</v>
      </c>
      <c r="Y952" t="s">
        <v>12644</v>
      </c>
      <c r="Z952" t="s">
        <v>74</v>
      </c>
      <c r="AA952" t="s">
        <v>74</v>
      </c>
      <c r="AB952" t="s">
        <v>74</v>
      </c>
      <c r="AC952" t="s">
        <v>74</v>
      </c>
      <c r="AD952" t="s">
        <v>74</v>
      </c>
      <c r="AE952" t="s">
        <v>74</v>
      </c>
      <c r="AF952" t="s">
        <v>74</v>
      </c>
      <c r="AG952">
        <v>39</v>
      </c>
      <c r="AH952">
        <v>65</v>
      </c>
      <c r="AI952">
        <v>70</v>
      </c>
      <c r="AJ952">
        <v>1</v>
      </c>
      <c r="AK952">
        <v>12</v>
      </c>
      <c r="AL952" t="s">
        <v>12595</v>
      </c>
      <c r="AM952" t="s">
        <v>1226</v>
      </c>
      <c r="AN952" t="s">
        <v>12596</v>
      </c>
      <c r="AO952" t="s">
        <v>12597</v>
      </c>
      <c r="AP952" t="s">
        <v>74</v>
      </c>
      <c r="AQ952" t="s">
        <v>12616</v>
      </c>
      <c r="AR952" t="s">
        <v>12599</v>
      </c>
      <c r="AS952" t="s">
        <v>74</v>
      </c>
      <c r="AT952" t="s">
        <v>74</v>
      </c>
      <c r="AU952">
        <v>2001</v>
      </c>
      <c r="AV952">
        <v>33</v>
      </c>
      <c r="AW952" t="s">
        <v>74</v>
      </c>
      <c r="AX952" t="s">
        <v>74</v>
      </c>
      <c r="AY952" t="s">
        <v>74</v>
      </c>
      <c r="AZ952" t="s">
        <v>74</v>
      </c>
      <c r="BA952" t="s">
        <v>74</v>
      </c>
      <c r="BB952">
        <v>51</v>
      </c>
      <c r="BC952">
        <v>60</v>
      </c>
      <c r="BD952" t="s">
        <v>74</v>
      </c>
      <c r="BE952" t="s">
        <v>12645</v>
      </c>
      <c r="BF952" t="str">
        <f>HYPERLINK("http://dx.doi.org/10.3189/172756401781818266","http://dx.doi.org/10.3189/172756401781818266")</f>
        <v>http://dx.doi.org/10.3189/172756401781818266</v>
      </c>
      <c r="BG952" t="s">
        <v>74</v>
      </c>
      <c r="BH952" t="s">
        <v>74</v>
      </c>
      <c r="BI952">
        <v>10</v>
      </c>
      <c r="BJ952" t="s">
        <v>300</v>
      </c>
      <c r="BK952" t="s">
        <v>453</v>
      </c>
      <c r="BL952" t="s">
        <v>113</v>
      </c>
      <c r="BM952" t="s">
        <v>12618</v>
      </c>
      <c r="BN952" t="s">
        <v>74</v>
      </c>
      <c r="BO952" t="s">
        <v>171</v>
      </c>
      <c r="BP952" t="s">
        <v>74</v>
      </c>
      <c r="BQ952" t="s">
        <v>74</v>
      </c>
      <c r="BR952" t="s">
        <v>91</v>
      </c>
      <c r="BS952" t="s">
        <v>12646</v>
      </c>
      <c r="BT952" t="str">
        <f>HYPERLINK("https%3A%2F%2Fwww.webofscience.com%2Fwos%2Fwoscc%2Ffull-record%2FWOS:000173446300008","View Full Record in Web of Science")</f>
        <v>View Full Record in Web of Science</v>
      </c>
    </row>
    <row r="953" spans="1:72" x14ac:dyDescent="0.15">
      <c r="A953" t="s">
        <v>298</v>
      </c>
      <c r="B953" t="s">
        <v>12647</v>
      </c>
      <c r="C953" t="s">
        <v>74</v>
      </c>
      <c r="D953" t="s">
        <v>12604</v>
      </c>
      <c r="E953" t="s">
        <v>74</v>
      </c>
      <c r="F953" t="s">
        <v>12647</v>
      </c>
      <c r="G953" t="s">
        <v>74</v>
      </c>
      <c r="H953" t="s">
        <v>74</v>
      </c>
      <c r="I953" t="s">
        <v>12648</v>
      </c>
      <c r="J953" t="s">
        <v>12606</v>
      </c>
      <c r="K953" t="s">
        <v>12649</v>
      </c>
      <c r="L953" t="s">
        <v>74</v>
      </c>
      <c r="M953" t="s">
        <v>77</v>
      </c>
      <c r="N953" t="s">
        <v>435</v>
      </c>
      <c r="O953" t="s">
        <v>12607</v>
      </c>
      <c r="P953" t="s">
        <v>12608</v>
      </c>
      <c r="Q953" t="s">
        <v>12650</v>
      </c>
      <c r="R953" t="s">
        <v>74</v>
      </c>
      <c r="S953" t="s">
        <v>12610</v>
      </c>
      <c r="T953" t="s">
        <v>74</v>
      </c>
      <c r="U953" t="s">
        <v>12651</v>
      </c>
      <c r="V953" t="s">
        <v>12652</v>
      </c>
      <c r="W953" t="s">
        <v>1678</v>
      </c>
      <c r="X953" t="s">
        <v>1679</v>
      </c>
      <c r="Y953" t="s">
        <v>12653</v>
      </c>
      <c r="Z953" t="s">
        <v>74</v>
      </c>
      <c r="AA953" t="s">
        <v>12654</v>
      </c>
      <c r="AB953" t="s">
        <v>12655</v>
      </c>
      <c r="AC953" t="s">
        <v>74</v>
      </c>
      <c r="AD953" t="s">
        <v>74</v>
      </c>
      <c r="AE953" t="s">
        <v>74</v>
      </c>
      <c r="AF953" t="s">
        <v>74</v>
      </c>
      <c r="AG953">
        <v>17</v>
      </c>
      <c r="AH953">
        <v>33</v>
      </c>
      <c r="AI953">
        <v>37</v>
      </c>
      <c r="AJ953">
        <v>0</v>
      </c>
      <c r="AK953">
        <v>7</v>
      </c>
      <c r="AL953" t="s">
        <v>12595</v>
      </c>
      <c r="AM953" t="s">
        <v>1226</v>
      </c>
      <c r="AN953" t="s">
        <v>12596</v>
      </c>
      <c r="AO953" t="s">
        <v>12597</v>
      </c>
      <c r="AP953" t="s">
        <v>74</v>
      </c>
      <c r="AQ953" t="s">
        <v>12616</v>
      </c>
      <c r="AR953" t="s">
        <v>12656</v>
      </c>
      <c r="AS953" t="s">
        <v>74</v>
      </c>
      <c r="AT953" t="s">
        <v>74</v>
      </c>
      <c r="AU953">
        <v>2001</v>
      </c>
      <c r="AV953">
        <v>33</v>
      </c>
      <c r="AW953" t="s">
        <v>74</v>
      </c>
      <c r="AX953" t="s">
        <v>74</v>
      </c>
      <c r="AY953" t="s">
        <v>74</v>
      </c>
      <c r="AZ953" t="s">
        <v>74</v>
      </c>
      <c r="BA953" t="s">
        <v>74</v>
      </c>
      <c r="BB953">
        <v>69</v>
      </c>
      <c r="BC953">
        <v>73</v>
      </c>
      <c r="BD953" t="s">
        <v>74</v>
      </c>
      <c r="BE953" t="s">
        <v>12657</v>
      </c>
      <c r="BF953" t="str">
        <f>HYPERLINK("http://dx.doi.org/10.3189/172756401781818301","http://dx.doi.org/10.3189/172756401781818301")</f>
        <v>http://dx.doi.org/10.3189/172756401781818301</v>
      </c>
      <c r="BG953" t="s">
        <v>74</v>
      </c>
      <c r="BH953" t="s">
        <v>74</v>
      </c>
      <c r="BI953">
        <v>5</v>
      </c>
      <c r="BJ953" t="s">
        <v>300</v>
      </c>
      <c r="BK953" t="s">
        <v>453</v>
      </c>
      <c r="BL953" t="s">
        <v>113</v>
      </c>
      <c r="BM953" t="s">
        <v>12618</v>
      </c>
      <c r="BN953" t="s">
        <v>74</v>
      </c>
      <c r="BO953" t="s">
        <v>115</v>
      </c>
      <c r="BP953" t="s">
        <v>74</v>
      </c>
      <c r="BQ953" t="s">
        <v>74</v>
      </c>
      <c r="BR953" t="s">
        <v>91</v>
      </c>
      <c r="BS953" t="s">
        <v>12658</v>
      </c>
      <c r="BT953" t="str">
        <f>HYPERLINK("https%3A%2F%2Fwww.webofscience.com%2Fwos%2Fwoscc%2Ffull-record%2FWOS:000173446300010","View Full Record in Web of Science")</f>
        <v>View Full Record in Web of Science</v>
      </c>
    </row>
    <row r="954" spans="1:72" x14ac:dyDescent="0.15">
      <c r="A954" t="s">
        <v>298</v>
      </c>
      <c r="B954" t="s">
        <v>12659</v>
      </c>
      <c r="C954" t="s">
        <v>74</v>
      </c>
      <c r="D954" t="s">
        <v>12604</v>
      </c>
      <c r="E954" t="s">
        <v>74</v>
      </c>
      <c r="F954" t="s">
        <v>12659</v>
      </c>
      <c r="G954" t="s">
        <v>74</v>
      </c>
      <c r="H954" t="s">
        <v>74</v>
      </c>
      <c r="I954" t="s">
        <v>12660</v>
      </c>
      <c r="J954" t="s">
        <v>12606</v>
      </c>
      <c r="K954" t="s">
        <v>12649</v>
      </c>
      <c r="L954" t="s">
        <v>74</v>
      </c>
      <c r="M954" t="s">
        <v>77</v>
      </c>
      <c r="N954" t="s">
        <v>435</v>
      </c>
      <c r="O954" t="s">
        <v>12607</v>
      </c>
      <c r="P954" t="s">
        <v>12608</v>
      </c>
      <c r="Q954" t="s">
        <v>12650</v>
      </c>
      <c r="R954" t="s">
        <v>74</v>
      </c>
      <c r="S954" t="s">
        <v>12610</v>
      </c>
      <c r="T954" t="s">
        <v>74</v>
      </c>
      <c r="U954" t="s">
        <v>12661</v>
      </c>
      <c r="V954" t="s">
        <v>12662</v>
      </c>
      <c r="W954" t="s">
        <v>12663</v>
      </c>
      <c r="X954" t="s">
        <v>7868</v>
      </c>
      <c r="Y954" t="s">
        <v>12664</v>
      </c>
      <c r="Z954" t="s">
        <v>74</v>
      </c>
      <c r="AA954" t="s">
        <v>12665</v>
      </c>
      <c r="AB954" t="s">
        <v>12666</v>
      </c>
      <c r="AC954" t="s">
        <v>74</v>
      </c>
      <c r="AD954" t="s">
        <v>74</v>
      </c>
      <c r="AE954" t="s">
        <v>74</v>
      </c>
      <c r="AF954" t="s">
        <v>74</v>
      </c>
      <c r="AG954">
        <v>10</v>
      </c>
      <c r="AH954">
        <v>16</v>
      </c>
      <c r="AI954">
        <v>18</v>
      </c>
      <c r="AJ954">
        <v>2</v>
      </c>
      <c r="AK954">
        <v>3</v>
      </c>
      <c r="AL954" t="s">
        <v>12595</v>
      </c>
      <c r="AM954" t="s">
        <v>1226</v>
      </c>
      <c r="AN954" t="s">
        <v>12596</v>
      </c>
      <c r="AO954" t="s">
        <v>12597</v>
      </c>
      <c r="AP954" t="s">
        <v>74</v>
      </c>
      <c r="AQ954" t="s">
        <v>12616</v>
      </c>
      <c r="AR954" t="s">
        <v>12656</v>
      </c>
      <c r="AS954" t="s">
        <v>74</v>
      </c>
      <c r="AT954" t="s">
        <v>74</v>
      </c>
      <c r="AU954">
        <v>2001</v>
      </c>
      <c r="AV954">
        <v>33</v>
      </c>
      <c r="AW954" t="s">
        <v>74</v>
      </c>
      <c r="AX954" t="s">
        <v>74</v>
      </c>
      <c r="AY954" t="s">
        <v>74</v>
      </c>
      <c r="AZ954" t="s">
        <v>74</v>
      </c>
      <c r="BA954" t="s">
        <v>74</v>
      </c>
      <c r="BB954">
        <v>94</v>
      </c>
      <c r="BC954">
        <v>100</v>
      </c>
      <c r="BD954" t="s">
        <v>74</v>
      </c>
      <c r="BE954" t="s">
        <v>12667</v>
      </c>
      <c r="BF954" t="str">
        <f>HYPERLINK("http://dx.doi.org/10.3189/172756401781818473","http://dx.doi.org/10.3189/172756401781818473")</f>
        <v>http://dx.doi.org/10.3189/172756401781818473</v>
      </c>
      <c r="BG954" t="s">
        <v>74</v>
      </c>
      <c r="BH954" t="s">
        <v>74</v>
      </c>
      <c r="BI954">
        <v>7</v>
      </c>
      <c r="BJ954" t="s">
        <v>300</v>
      </c>
      <c r="BK954" t="s">
        <v>453</v>
      </c>
      <c r="BL954" t="s">
        <v>113</v>
      </c>
      <c r="BM954" t="s">
        <v>12618</v>
      </c>
      <c r="BN954" t="s">
        <v>74</v>
      </c>
      <c r="BO954" t="s">
        <v>171</v>
      </c>
      <c r="BP954" t="s">
        <v>74</v>
      </c>
      <c r="BQ954" t="s">
        <v>74</v>
      </c>
      <c r="BR954" t="s">
        <v>91</v>
      </c>
      <c r="BS954" t="s">
        <v>12668</v>
      </c>
      <c r="BT954" t="str">
        <f>HYPERLINK("https%3A%2F%2Fwww.webofscience.com%2Fwos%2Fwoscc%2Ffull-record%2FWOS:000173446300014","View Full Record in Web of Science")</f>
        <v>View Full Record in Web of Science</v>
      </c>
    </row>
    <row r="955" spans="1:72" x14ac:dyDescent="0.15">
      <c r="A955" t="s">
        <v>298</v>
      </c>
      <c r="B955" t="s">
        <v>12669</v>
      </c>
      <c r="C955" t="s">
        <v>74</v>
      </c>
      <c r="D955" t="s">
        <v>12604</v>
      </c>
      <c r="E955" t="s">
        <v>74</v>
      </c>
      <c r="F955" t="s">
        <v>12669</v>
      </c>
      <c r="G955" t="s">
        <v>74</v>
      </c>
      <c r="H955" t="s">
        <v>74</v>
      </c>
      <c r="I955" t="s">
        <v>12670</v>
      </c>
      <c r="J955" t="s">
        <v>12606</v>
      </c>
      <c r="K955" t="s">
        <v>12649</v>
      </c>
      <c r="L955" t="s">
        <v>74</v>
      </c>
      <c r="M955" t="s">
        <v>77</v>
      </c>
      <c r="N955" t="s">
        <v>435</v>
      </c>
      <c r="O955" t="s">
        <v>12607</v>
      </c>
      <c r="P955" t="s">
        <v>12608</v>
      </c>
      <c r="Q955" t="s">
        <v>12650</v>
      </c>
      <c r="R955" t="s">
        <v>74</v>
      </c>
      <c r="S955" t="s">
        <v>12610</v>
      </c>
      <c r="T955" t="s">
        <v>74</v>
      </c>
      <c r="U955" t="s">
        <v>12671</v>
      </c>
      <c r="V955" t="s">
        <v>12672</v>
      </c>
      <c r="W955" t="s">
        <v>12673</v>
      </c>
      <c r="X955" t="s">
        <v>12674</v>
      </c>
      <c r="Y955" t="s">
        <v>12675</v>
      </c>
      <c r="Z955" t="s">
        <v>74</v>
      </c>
      <c r="AA955" t="s">
        <v>12676</v>
      </c>
      <c r="AB955" t="s">
        <v>12677</v>
      </c>
      <c r="AC955" t="s">
        <v>74</v>
      </c>
      <c r="AD955" t="s">
        <v>74</v>
      </c>
      <c r="AE955" t="s">
        <v>74</v>
      </c>
      <c r="AF955" t="s">
        <v>74</v>
      </c>
      <c r="AG955">
        <v>23</v>
      </c>
      <c r="AH955">
        <v>17</v>
      </c>
      <c r="AI955">
        <v>20</v>
      </c>
      <c r="AJ955">
        <v>0</v>
      </c>
      <c r="AK955">
        <v>3</v>
      </c>
      <c r="AL955" t="s">
        <v>12595</v>
      </c>
      <c r="AM955" t="s">
        <v>1226</v>
      </c>
      <c r="AN955" t="s">
        <v>12596</v>
      </c>
      <c r="AO955" t="s">
        <v>12597</v>
      </c>
      <c r="AP955" t="s">
        <v>74</v>
      </c>
      <c r="AQ955" t="s">
        <v>12616</v>
      </c>
      <c r="AR955" t="s">
        <v>12656</v>
      </c>
      <c r="AS955" t="s">
        <v>74</v>
      </c>
      <c r="AT955" t="s">
        <v>74</v>
      </c>
      <c r="AU955">
        <v>2001</v>
      </c>
      <c r="AV955">
        <v>33</v>
      </c>
      <c r="AW955" t="s">
        <v>74</v>
      </c>
      <c r="AX955" t="s">
        <v>74</v>
      </c>
      <c r="AY955" t="s">
        <v>74</v>
      </c>
      <c r="AZ955" t="s">
        <v>74</v>
      </c>
      <c r="BA955" t="s">
        <v>74</v>
      </c>
      <c r="BB955">
        <v>102</v>
      </c>
      <c r="BC955">
        <v>108</v>
      </c>
      <c r="BD955" t="s">
        <v>74</v>
      </c>
      <c r="BE955" t="s">
        <v>12678</v>
      </c>
      <c r="BF955" t="str">
        <f>HYPERLINK("http://dx.doi.org/10.3189/172756401781818509","http://dx.doi.org/10.3189/172756401781818509")</f>
        <v>http://dx.doi.org/10.3189/172756401781818509</v>
      </c>
      <c r="BG955" t="s">
        <v>74</v>
      </c>
      <c r="BH955" t="s">
        <v>74</v>
      </c>
      <c r="BI955">
        <v>7</v>
      </c>
      <c r="BJ955" t="s">
        <v>300</v>
      </c>
      <c r="BK955" t="s">
        <v>453</v>
      </c>
      <c r="BL955" t="s">
        <v>113</v>
      </c>
      <c r="BM955" t="s">
        <v>12618</v>
      </c>
      <c r="BN955" t="s">
        <v>74</v>
      </c>
      <c r="BO955" t="s">
        <v>115</v>
      </c>
      <c r="BP955" t="s">
        <v>74</v>
      </c>
      <c r="BQ955" t="s">
        <v>74</v>
      </c>
      <c r="BR955" t="s">
        <v>91</v>
      </c>
      <c r="BS955" t="s">
        <v>12679</v>
      </c>
      <c r="BT955" t="str">
        <f>HYPERLINK("https%3A%2F%2Fwww.webofscience.com%2Fwos%2Fwoscc%2Ffull-record%2FWOS:000173446300015","View Full Record in Web of Science")</f>
        <v>View Full Record in Web of Science</v>
      </c>
    </row>
    <row r="956" spans="1:72" x14ac:dyDescent="0.15">
      <c r="A956" t="s">
        <v>298</v>
      </c>
      <c r="B956" t="s">
        <v>12680</v>
      </c>
      <c r="C956" t="s">
        <v>74</v>
      </c>
      <c r="D956" t="s">
        <v>12604</v>
      </c>
      <c r="E956" t="s">
        <v>74</v>
      </c>
      <c r="F956" t="s">
        <v>12680</v>
      </c>
      <c r="G956" t="s">
        <v>74</v>
      </c>
      <c r="H956" t="s">
        <v>74</v>
      </c>
      <c r="I956" t="s">
        <v>12681</v>
      </c>
      <c r="J956" t="s">
        <v>12606</v>
      </c>
      <c r="K956" t="s">
        <v>12649</v>
      </c>
      <c r="L956" t="s">
        <v>74</v>
      </c>
      <c r="M956" t="s">
        <v>77</v>
      </c>
      <c r="N956" t="s">
        <v>435</v>
      </c>
      <c r="O956" t="s">
        <v>12607</v>
      </c>
      <c r="P956" t="s">
        <v>12608</v>
      </c>
      <c r="Q956" t="s">
        <v>12650</v>
      </c>
      <c r="R956" t="s">
        <v>74</v>
      </c>
      <c r="S956" t="s">
        <v>12610</v>
      </c>
      <c r="T956" t="s">
        <v>74</v>
      </c>
      <c r="U956" t="s">
        <v>12682</v>
      </c>
      <c r="V956" t="s">
        <v>12683</v>
      </c>
      <c r="W956" t="s">
        <v>12684</v>
      </c>
      <c r="X956" t="s">
        <v>3538</v>
      </c>
      <c r="Y956" t="s">
        <v>12685</v>
      </c>
      <c r="Z956" t="s">
        <v>74</v>
      </c>
      <c r="AA956" t="s">
        <v>7658</v>
      </c>
      <c r="AB956" t="s">
        <v>12686</v>
      </c>
      <c r="AC956" t="s">
        <v>74</v>
      </c>
      <c r="AD956" t="s">
        <v>74</v>
      </c>
      <c r="AE956" t="s">
        <v>74</v>
      </c>
      <c r="AF956" t="s">
        <v>74</v>
      </c>
      <c r="AG956">
        <v>20</v>
      </c>
      <c r="AH956">
        <v>27</v>
      </c>
      <c r="AI956">
        <v>33</v>
      </c>
      <c r="AJ956">
        <v>0</v>
      </c>
      <c r="AK956">
        <v>5</v>
      </c>
      <c r="AL956" t="s">
        <v>12595</v>
      </c>
      <c r="AM956" t="s">
        <v>1226</v>
      </c>
      <c r="AN956" t="s">
        <v>12596</v>
      </c>
      <c r="AO956" t="s">
        <v>12597</v>
      </c>
      <c r="AP956" t="s">
        <v>74</v>
      </c>
      <c r="AQ956" t="s">
        <v>12616</v>
      </c>
      <c r="AR956" t="s">
        <v>12656</v>
      </c>
      <c r="AS956" t="s">
        <v>74</v>
      </c>
      <c r="AT956" t="s">
        <v>74</v>
      </c>
      <c r="AU956">
        <v>2001</v>
      </c>
      <c r="AV956">
        <v>33</v>
      </c>
      <c r="AW956" t="s">
        <v>74</v>
      </c>
      <c r="AX956" t="s">
        <v>74</v>
      </c>
      <c r="AY956" t="s">
        <v>74</v>
      </c>
      <c r="AZ956" t="s">
        <v>74</v>
      </c>
      <c r="BA956" t="s">
        <v>74</v>
      </c>
      <c r="BB956">
        <v>109</v>
      </c>
      <c r="BC956">
        <v>114</v>
      </c>
      <c r="BD956" t="s">
        <v>74</v>
      </c>
      <c r="BE956" t="s">
        <v>12687</v>
      </c>
      <c r="BF956" t="str">
        <f>HYPERLINK("http://dx.doi.org/10.3189/172756401781818905","http://dx.doi.org/10.3189/172756401781818905")</f>
        <v>http://dx.doi.org/10.3189/172756401781818905</v>
      </c>
      <c r="BG956" t="s">
        <v>74</v>
      </c>
      <c r="BH956" t="s">
        <v>74</v>
      </c>
      <c r="BI956">
        <v>6</v>
      </c>
      <c r="BJ956" t="s">
        <v>300</v>
      </c>
      <c r="BK956" t="s">
        <v>453</v>
      </c>
      <c r="BL956" t="s">
        <v>113</v>
      </c>
      <c r="BM956" t="s">
        <v>12618</v>
      </c>
      <c r="BN956" t="s">
        <v>74</v>
      </c>
      <c r="BO956" t="s">
        <v>171</v>
      </c>
      <c r="BP956" t="s">
        <v>74</v>
      </c>
      <c r="BQ956" t="s">
        <v>74</v>
      </c>
      <c r="BR956" t="s">
        <v>91</v>
      </c>
      <c r="BS956" t="s">
        <v>12688</v>
      </c>
      <c r="BT956" t="str">
        <f>HYPERLINK("https%3A%2F%2Fwww.webofscience.com%2Fwos%2Fwoscc%2Ffull-record%2FWOS:000173446300016","View Full Record in Web of Science")</f>
        <v>View Full Record in Web of Science</v>
      </c>
    </row>
    <row r="957" spans="1:72" x14ac:dyDescent="0.15">
      <c r="A957" t="s">
        <v>298</v>
      </c>
      <c r="B957" t="s">
        <v>12689</v>
      </c>
      <c r="C957" t="s">
        <v>74</v>
      </c>
      <c r="D957" t="s">
        <v>12604</v>
      </c>
      <c r="E957" t="s">
        <v>74</v>
      </c>
      <c r="F957" t="s">
        <v>12689</v>
      </c>
      <c r="G957" t="s">
        <v>74</v>
      </c>
      <c r="H957" t="s">
        <v>74</v>
      </c>
      <c r="I957" t="s">
        <v>12690</v>
      </c>
      <c r="J957" t="s">
        <v>12606</v>
      </c>
      <c r="K957" t="s">
        <v>12649</v>
      </c>
      <c r="L957" t="s">
        <v>74</v>
      </c>
      <c r="M957" t="s">
        <v>77</v>
      </c>
      <c r="N957" t="s">
        <v>435</v>
      </c>
      <c r="O957" t="s">
        <v>12607</v>
      </c>
      <c r="P957" t="s">
        <v>12608</v>
      </c>
      <c r="Q957" t="s">
        <v>12650</v>
      </c>
      <c r="R957" t="s">
        <v>74</v>
      </c>
      <c r="S957" t="s">
        <v>12610</v>
      </c>
      <c r="T957" t="s">
        <v>74</v>
      </c>
      <c r="U957" t="s">
        <v>12691</v>
      </c>
      <c r="V957" t="s">
        <v>12692</v>
      </c>
      <c r="W957" t="s">
        <v>12693</v>
      </c>
      <c r="X957" t="s">
        <v>12694</v>
      </c>
      <c r="Y957" t="s">
        <v>12695</v>
      </c>
      <c r="Z957" t="s">
        <v>74</v>
      </c>
      <c r="AA957" t="s">
        <v>12696</v>
      </c>
      <c r="AB957" t="s">
        <v>12697</v>
      </c>
      <c r="AC957" t="s">
        <v>74</v>
      </c>
      <c r="AD957" t="s">
        <v>74</v>
      </c>
      <c r="AE957" t="s">
        <v>74</v>
      </c>
      <c r="AF957" t="s">
        <v>74</v>
      </c>
      <c r="AG957">
        <v>17</v>
      </c>
      <c r="AH957">
        <v>21</v>
      </c>
      <c r="AI957">
        <v>23</v>
      </c>
      <c r="AJ957">
        <v>0</v>
      </c>
      <c r="AK957">
        <v>9</v>
      </c>
      <c r="AL957" t="s">
        <v>12595</v>
      </c>
      <c r="AM957" t="s">
        <v>1226</v>
      </c>
      <c r="AN957" t="s">
        <v>12596</v>
      </c>
      <c r="AO957" t="s">
        <v>12597</v>
      </c>
      <c r="AP957" t="s">
        <v>74</v>
      </c>
      <c r="AQ957" t="s">
        <v>12616</v>
      </c>
      <c r="AR957" t="s">
        <v>12656</v>
      </c>
      <c r="AS957" t="s">
        <v>74</v>
      </c>
      <c r="AT957" t="s">
        <v>74</v>
      </c>
      <c r="AU957">
        <v>2001</v>
      </c>
      <c r="AV957">
        <v>33</v>
      </c>
      <c r="AW957" t="s">
        <v>74</v>
      </c>
      <c r="AX957" t="s">
        <v>74</v>
      </c>
      <c r="AY957" t="s">
        <v>74</v>
      </c>
      <c r="AZ957" t="s">
        <v>74</v>
      </c>
      <c r="BA957" t="s">
        <v>74</v>
      </c>
      <c r="BB957">
        <v>139</v>
      </c>
      <c r="BC957">
        <v>144</v>
      </c>
      <c r="BD957" t="s">
        <v>74</v>
      </c>
      <c r="BE957" t="s">
        <v>12698</v>
      </c>
      <c r="BF957" t="str">
        <f>HYPERLINK("http://dx.doi.org/10.3189/172756401781818374","http://dx.doi.org/10.3189/172756401781818374")</f>
        <v>http://dx.doi.org/10.3189/172756401781818374</v>
      </c>
      <c r="BG957" t="s">
        <v>74</v>
      </c>
      <c r="BH957" t="s">
        <v>74</v>
      </c>
      <c r="BI957">
        <v>6</v>
      </c>
      <c r="BJ957" t="s">
        <v>300</v>
      </c>
      <c r="BK957" t="s">
        <v>453</v>
      </c>
      <c r="BL957" t="s">
        <v>113</v>
      </c>
      <c r="BM957" t="s">
        <v>12618</v>
      </c>
      <c r="BN957" t="s">
        <v>74</v>
      </c>
      <c r="BO957" t="s">
        <v>171</v>
      </c>
      <c r="BP957" t="s">
        <v>74</v>
      </c>
      <c r="BQ957" t="s">
        <v>74</v>
      </c>
      <c r="BR957" t="s">
        <v>91</v>
      </c>
      <c r="BS957" t="s">
        <v>12699</v>
      </c>
      <c r="BT957" t="str">
        <f>HYPERLINK("https%3A%2F%2Fwww.webofscience.com%2Fwos%2Fwoscc%2Ffull-record%2FWOS:000173446300021","View Full Record in Web of Science")</f>
        <v>View Full Record in Web of Science</v>
      </c>
    </row>
    <row r="958" spans="1:72" x14ac:dyDescent="0.15">
      <c r="A958" t="s">
        <v>298</v>
      </c>
      <c r="B958" t="s">
        <v>12700</v>
      </c>
      <c r="C958" t="s">
        <v>74</v>
      </c>
      <c r="D958" t="s">
        <v>12604</v>
      </c>
      <c r="E958" t="s">
        <v>74</v>
      </c>
      <c r="F958" t="s">
        <v>12700</v>
      </c>
      <c r="G958" t="s">
        <v>74</v>
      </c>
      <c r="H958" t="s">
        <v>74</v>
      </c>
      <c r="I958" t="s">
        <v>12701</v>
      </c>
      <c r="J958" t="s">
        <v>12606</v>
      </c>
      <c r="K958" t="s">
        <v>12587</v>
      </c>
      <c r="L958" t="s">
        <v>74</v>
      </c>
      <c r="M958" t="s">
        <v>77</v>
      </c>
      <c r="N958" t="s">
        <v>435</v>
      </c>
      <c r="O958" t="s">
        <v>12607</v>
      </c>
      <c r="P958" t="s">
        <v>12608</v>
      </c>
      <c r="Q958" t="s">
        <v>12609</v>
      </c>
      <c r="R958" t="s">
        <v>74</v>
      </c>
      <c r="S958" t="s">
        <v>12610</v>
      </c>
      <c r="T958" t="s">
        <v>74</v>
      </c>
      <c r="U958" t="s">
        <v>12702</v>
      </c>
      <c r="V958" t="s">
        <v>12703</v>
      </c>
      <c r="W958" t="s">
        <v>12704</v>
      </c>
      <c r="X958" t="s">
        <v>12705</v>
      </c>
      <c r="Y958" t="s">
        <v>12706</v>
      </c>
      <c r="Z958" t="s">
        <v>74</v>
      </c>
      <c r="AA958" t="s">
        <v>12707</v>
      </c>
      <c r="AB958" t="s">
        <v>12708</v>
      </c>
      <c r="AC958" t="s">
        <v>74</v>
      </c>
      <c r="AD958" t="s">
        <v>74</v>
      </c>
      <c r="AE958" t="s">
        <v>74</v>
      </c>
      <c r="AF958" t="s">
        <v>74</v>
      </c>
      <c r="AG958">
        <v>30</v>
      </c>
      <c r="AH958">
        <v>15</v>
      </c>
      <c r="AI958">
        <v>19</v>
      </c>
      <c r="AJ958">
        <v>2</v>
      </c>
      <c r="AK958">
        <v>10</v>
      </c>
      <c r="AL958" t="s">
        <v>12595</v>
      </c>
      <c r="AM958" t="s">
        <v>1226</v>
      </c>
      <c r="AN958" t="s">
        <v>12596</v>
      </c>
      <c r="AO958" t="s">
        <v>12597</v>
      </c>
      <c r="AP958" t="s">
        <v>74</v>
      </c>
      <c r="AQ958" t="s">
        <v>12616</v>
      </c>
      <c r="AR958" t="s">
        <v>12599</v>
      </c>
      <c r="AS958" t="s">
        <v>74</v>
      </c>
      <c r="AT958" t="s">
        <v>74</v>
      </c>
      <c r="AU958">
        <v>2001</v>
      </c>
      <c r="AV958">
        <v>33</v>
      </c>
      <c r="AW958" t="s">
        <v>74</v>
      </c>
      <c r="AX958" t="s">
        <v>74</v>
      </c>
      <c r="AY958" t="s">
        <v>74</v>
      </c>
      <c r="AZ958" t="s">
        <v>74</v>
      </c>
      <c r="BA958" t="s">
        <v>74</v>
      </c>
      <c r="BB958">
        <v>177</v>
      </c>
      <c r="BC958">
        <v>180</v>
      </c>
      <c r="BD958" t="s">
        <v>74</v>
      </c>
      <c r="BE958" t="s">
        <v>12709</v>
      </c>
      <c r="BF958" t="str">
        <f>HYPERLINK("http://dx.doi.org/10.3189/172756401781818167","http://dx.doi.org/10.3189/172756401781818167")</f>
        <v>http://dx.doi.org/10.3189/172756401781818167</v>
      </c>
      <c r="BG958" t="s">
        <v>74</v>
      </c>
      <c r="BH958" t="s">
        <v>74</v>
      </c>
      <c r="BI958">
        <v>4</v>
      </c>
      <c r="BJ958" t="s">
        <v>300</v>
      </c>
      <c r="BK958" t="s">
        <v>453</v>
      </c>
      <c r="BL958" t="s">
        <v>113</v>
      </c>
      <c r="BM958" t="s">
        <v>12618</v>
      </c>
      <c r="BN958" t="s">
        <v>74</v>
      </c>
      <c r="BO958" t="s">
        <v>171</v>
      </c>
      <c r="BP958" t="s">
        <v>74</v>
      </c>
      <c r="BQ958" t="s">
        <v>74</v>
      </c>
      <c r="BR958" t="s">
        <v>91</v>
      </c>
      <c r="BS958" t="s">
        <v>12710</v>
      </c>
      <c r="BT958" t="str">
        <f>HYPERLINK("https%3A%2F%2Fwww.webofscience.com%2Fwos%2Fwoscc%2Ffull-record%2FWOS:000173446300027","View Full Record in Web of Science")</f>
        <v>View Full Record in Web of Science</v>
      </c>
    </row>
    <row r="959" spans="1:72" x14ac:dyDescent="0.15">
      <c r="A959" t="s">
        <v>298</v>
      </c>
      <c r="B959" t="s">
        <v>12711</v>
      </c>
      <c r="C959" t="s">
        <v>74</v>
      </c>
      <c r="D959" t="s">
        <v>12604</v>
      </c>
      <c r="E959" t="s">
        <v>74</v>
      </c>
      <c r="F959" t="s">
        <v>12711</v>
      </c>
      <c r="G959" t="s">
        <v>74</v>
      </c>
      <c r="H959" t="s">
        <v>74</v>
      </c>
      <c r="I959" t="s">
        <v>12712</v>
      </c>
      <c r="J959" t="s">
        <v>12606</v>
      </c>
      <c r="K959" t="s">
        <v>12649</v>
      </c>
      <c r="L959" t="s">
        <v>74</v>
      </c>
      <c r="M959" t="s">
        <v>77</v>
      </c>
      <c r="N959" t="s">
        <v>435</v>
      </c>
      <c r="O959" t="s">
        <v>12607</v>
      </c>
      <c r="P959" t="s">
        <v>12608</v>
      </c>
      <c r="Q959" t="s">
        <v>12650</v>
      </c>
      <c r="R959" t="s">
        <v>74</v>
      </c>
      <c r="S959" t="s">
        <v>12610</v>
      </c>
      <c r="T959" t="s">
        <v>74</v>
      </c>
      <c r="U959" t="s">
        <v>12713</v>
      </c>
      <c r="V959" t="s">
        <v>12714</v>
      </c>
      <c r="W959" t="s">
        <v>12715</v>
      </c>
      <c r="X959" t="s">
        <v>12625</v>
      </c>
      <c r="Y959" t="s">
        <v>12716</v>
      </c>
      <c r="Z959" t="s">
        <v>74</v>
      </c>
      <c r="AA959" t="s">
        <v>74</v>
      </c>
      <c r="AB959" t="s">
        <v>74</v>
      </c>
      <c r="AC959" t="s">
        <v>74</v>
      </c>
      <c r="AD959" t="s">
        <v>74</v>
      </c>
      <c r="AE959" t="s">
        <v>74</v>
      </c>
      <c r="AF959" t="s">
        <v>74</v>
      </c>
      <c r="AG959">
        <v>23</v>
      </c>
      <c r="AH959">
        <v>15</v>
      </c>
      <c r="AI959">
        <v>17</v>
      </c>
      <c r="AJ959">
        <v>1</v>
      </c>
      <c r="AK959">
        <v>12</v>
      </c>
      <c r="AL959" t="s">
        <v>12595</v>
      </c>
      <c r="AM959" t="s">
        <v>1226</v>
      </c>
      <c r="AN959" t="s">
        <v>12596</v>
      </c>
      <c r="AO959" t="s">
        <v>12597</v>
      </c>
      <c r="AP959" t="s">
        <v>74</v>
      </c>
      <c r="AQ959" t="s">
        <v>12616</v>
      </c>
      <c r="AR959" t="s">
        <v>12656</v>
      </c>
      <c r="AS959" t="s">
        <v>74</v>
      </c>
      <c r="AT959" t="s">
        <v>74</v>
      </c>
      <c r="AU959">
        <v>2001</v>
      </c>
      <c r="AV959">
        <v>33</v>
      </c>
      <c r="AW959" t="s">
        <v>74</v>
      </c>
      <c r="AX959" t="s">
        <v>74</v>
      </c>
      <c r="AY959" t="s">
        <v>74</v>
      </c>
      <c r="AZ959" t="s">
        <v>74</v>
      </c>
      <c r="BA959" t="s">
        <v>74</v>
      </c>
      <c r="BB959">
        <v>187</v>
      </c>
      <c r="BC959">
        <v>193</v>
      </c>
      <c r="BD959" t="s">
        <v>74</v>
      </c>
      <c r="BE959" t="s">
        <v>12717</v>
      </c>
      <c r="BF959" t="str">
        <f>HYPERLINK("http://dx.doi.org/10.3189/172756401781818770","http://dx.doi.org/10.3189/172756401781818770")</f>
        <v>http://dx.doi.org/10.3189/172756401781818770</v>
      </c>
      <c r="BG959" t="s">
        <v>74</v>
      </c>
      <c r="BH959" t="s">
        <v>74</v>
      </c>
      <c r="BI959">
        <v>7</v>
      </c>
      <c r="BJ959" t="s">
        <v>300</v>
      </c>
      <c r="BK959" t="s">
        <v>453</v>
      </c>
      <c r="BL959" t="s">
        <v>113</v>
      </c>
      <c r="BM959" t="s">
        <v>12618</v>
      </c>
      <c r="BN959" t="s">
        <v>74</v>
      </c>
      <c r="BO959" t="s">
        <v>171</v>
      </c>
      <c r="BP959" t="s">
        <v>74</v>
      </c>
      <c r="BQ959" t="s">
        <v>74</v>
      </c>
      <c r="BR959" t="s">
        <v>91</v>
      </c>
      <c r="BS959" t="s">
        <v>12718</v>
      </c>
      <c r="BT959" t="str">
        <f>HYPERLINK("https%3A%2F%2Fwww.webofscience.com%2Fwos%2Fwoscc%2Ffull-record%2FWOS:000173446300029","View Full Record in Web of Science")</f>
        <v>View Full Record in Web of Science</v>
      </c>
    </row>
    <row r="960" spans="1:72" x14ac:dyDescent="0.15">
      <c r="A960" t="s">
        <v>298</v>
      </c>
      <c r="B960" t="s">
        <v>12719</v>
      </c>
      <c r="C960" t="s">
        <v>74</v>
      </c>
      <c r="D960" t="s">
        <v>12604</v>
      </c>
      <c r="E960" t="s">
        <v>74</v>
      </c>
      <c r="F960" t="s">
        <v>12719</v>
      </c>
      <c r="G960" t="s">
        <v>74</v>
      </c>
      <c r="H960" t="s">
        <v>74</v>
      </c>
      <c r="I960" t="s">
        <v>12720</v>
      </c>
      <c r="J960" t="s">
        <v>12606</v>
      </c>
      <c r="K960" t="s">
        <v>12587</v>
      </c>
      <c r="L960" t="s">
        <v>74</v>
      </c>
      <c r="M960" t="s">
        <v>77</v>
      </c>
      <c r="N960" t="s">
        <v>435</v>
      </c>
      <c r="O960" t="s">
        <v>12607</v>
      </c>
      <c r="P960" t="s">
        <v>12608</v>
      </c>
      <c r="Q960" t="s">
        <v>12609</v>
      </c>
      <c r="R960" t="s">
        <v>74</v>
      </c>
      <c r="S960" t="s">
        <v>12610</v>
      </c>
      <c r="T960" t="s">
        <v>74</v>
      </c>
      <c r="U960" t="s">
        <v>12721</v>
      </c>
      <c r="V960" t="s">
        <v>12722</v>
      </c>
      <c r="W960" t="s">
        <v>12723</v>
      </c>
      <c r="X960" t="s">
        <v>12724</v>
      </c>
      <c r="Y960" t="s">
        <v>12725</v>
      </c>
      <c r="Z960" t="s">
        <v>74</v>
      </c>
      <c r="AA960" t="s">
        <v>74</v>
      </c>
      <c r="AB960" t="s">
        <v>12726</v>
      </c>
      <c r="AC960" t="s">
        <v>74</v>
      </c>
      <c r="AD960" t="s">
        <v>74</v>
      </c>
      <c r="AE960" t="s">
        <v>74</v>
      </c>
      <c r="AF960" t="s">
        <v>74</v>
      </c>
      <c r="AG960">
        <v>19</v>
      </c>
      <c r="AH960">
        <v>1</v>
      </c>
      <c r="AI960">
        <v>1</v>
      </c>
      <c r="AJ960">
        <v>0</v>
      </c>
      <c r="AK960">
        <v>2</v>
      </c>
      <c r="AL960" t="s">
        <v>12595</v>
      </c>
      <c r="AM960" t="s">
        <v>1226</v>
      </c>
      <c r="AN960" t="s">
        <v>12596</v>
      </c>
      <c r="AO960" t="s">
        <v>12597</v>
      </c>
      <c r="AP960" t="s">
        <v>74</v>
      </c>
      <c r="AQ960" t="s">
        <v>12616</v>
      </c>
      <c r="AR960" t="s">
        <v>12599</v>
      </c>
      <c r="AS960" t="s">
        <v>74</v>
      </c>
      <c r="AT960" t="s">
        <v>74</v>
      </c>
      <c r="AU960">
        <v>2001</v>
      </c>
      <c r="AV960">
        <v>33</v>
      </c>
      <c r="AW960" t="s">
        <v>74</v>
      </c>
      <c r="AX960" t="s">
        <v>74</v>
      </c>
      <c r="AY960" t="s">
        <v>74</v>
      </c>
      <c r="AZ960" t="s">
        <v>74</v>
      </c>
      <c r="BA960" t="s">
        <v>74</v>
      </c>
      <c r="BB960">
        <v>261</v>
      </c>
      <c r="BC960">
        <v>266</v>
      </c>
      <c r="BD960" t="s">
        <v>74</v>
      </c>
      <c r="BE960" t="s">
        <v>12727</v>
      </c>
      <c r="BF960" t="str">
        <f>HYPERLINK("http://dx.doi.org/10.3189/172756401781818914","http://dx.doi.org/10.3189/172756401781818914")</f>
        <v>http://dx.doi.org/10.3189/172756401781818914</v>
      </c>
      <c r="BG960" t="s">
        <v>74</v>
      </c>
      <c r="BH960" t="s">
        <v>74</v>
      </c>
      <c r="BI960">
        <v>6</v>
      </c>
      <c r="BJ960" t="s">
        <v>300</v>
      </c>
      <c r="BK960" t="s">
        <v>453</v>
      </c>
      <c r="BL960" t="s">
        <v>113</v>
      </c>
      <c r="BM960" t="s">
        <v>12618</v>
      </c>
      <c r="BN960" t="s">
        <v>74</v>
      </c>
      <c r="BO960" t="s">
        <v>171</v>
      </c>
      <c r="BP960" t="s">
        <v>74</v>
      </c>
      <c r="BQ960" t="s">
        <v>74</v>
      </c>
      <c r="BR960" t="s">
        <v>91</v>
      </c>
      <c r="BS960" t="s">
        <v>12728</v>
      </c>
      <c r="BT960" t="str">
        <f>HYPERLINK("https%3A%2F%2Fwww.webofscience.com%2Fwos%2Fwoscc%2Ffull-record%2FWOS:000173446300041","View Full Record in Web of Science")</f>
        <v>View Full Record in Web of Science</v>
      </c>
    </row>
    <row r="961" spans="1:72" x14ac:dyDescent="0.15">
      <c r="A961" t="s">
        <v>298</v>
      </c>
      <c r="B961" t="s">
        <v>12729</v>
      </c>
      <c r="C961" t="s">
        <v>74</v>
      </c>
      <c r="D961" t="s">
        <v>12604</v>
      </c>
      <c r="E961" t="s">
        <v>74</v>
      </c>
      <c r="F961" t="s">
        <v>12729</v>
      </c>
      <c r="G961" t="s">
        <v>74</v>
      </c>
      <c r="H961" t="s">
        <v>74</v>
      </c>
      <c r="I961" t="s">
        <v>12730</v>
      </c>
      <c r="J961" t="s">
        <v>12606</v>
      </c>
      <c r="K961" t="s">
        <v>12649</v>
      </c>
      <c r="L961" t="s">
        <v>74</v>
      </c>
      <c r="M961" t="s">
        <v>77</v>
      </c>
      <c r="N961" t="s">
        <v>435</v>
      </c>
      <c r="O961" t="s">
        <v>12607</v>
      </c>
      <c r="P961" t="s">
        <v>12608</v>
      </c>
      <c r="Q961" t="s">
        <v>12650</v>
      </c>
      <c r="R961" t="s">
        <v>74</v>
      </c>
      <c r="S961" t="s">
        <v>12610</v>
      </c>
      <c r="T961" t="s">
        <v>74</v>
      </c>
      <c r="U961" t="s">
        <v>12731</v>
      </c>
      <c r="V961" t="s">
        <v>12732</v>
      </c>
      <c r="W961" t="s">
        <v>12733</v>
      </c>
      <c r="X961" t="s">
        <v>12734</v>
      </c>
      <c r="Y961" t="s">
        <v>12735</v>
      </c>
      <c r="Z961" t="s">
        <v>74</v>
      </c>
      <c r="AA961" t="s">
        <v>12736</v>
      </c>
      <c r="AB961" t="s">
        <v>74</v>
      </c>
      <c r="AC961" t="s">
        <v>74</v>
      </c>
      <c r="AD961" t="s">
        <v>74</v>
      </c>
      <c r="AE961" t="s">
        <v>74</v>
      </c>
      <c r="AF961" t="s">
        <v>74</v>
      </c>
      <c r="AG961">
        <v>11</v>
      </c>
      <c r="AH961">
        <v>4</v>
      </c>
      <c r="AI961">
        <v>5</v>
      </c>
      <c r="AJ961">
        <v>0</v>
      </c>
      <c r="AK961">
        <v>5</v>
      </c>
      <c r="AL961" t="s">
        <v>12595</v>
      </c>
      <c r="AM961" t="s">
        <v>1226</v>
      </c>
      <c r="AN961" t="s">
        <v>12596</v>
      </c>
      <c r="AO961" t="s">
        <v>12597</v>
      </c>
      <c r="AP961" t="s">
        <v>74</v>
      </c>
      <c r="AQ961" t="s">
        <v>12616</v>
      </c>
      <c r="AR961" t="s">
        <v>12656</v>
      </c>
      <c r="AS961" t="s">
        <v>74</v>
      </c>
      <c r="AT961" t="s">
        <v>74</v>
      </c>
      <c r="AU961">
        <v>2001</v>
      </c>
      <c r="AV961">
        <v>33</v>
      </c>
      <c r="AW961" t="s">
        <v>74</v>
      </c>
      <c r="AX961" t="s">
        <v>74</v>
      </c>
      <c r="AY961" t="s">
        <v>74</v>
      </c>
      <c r="AZ961" t="s">
        <v>74</v>
      </c>
      <c r="BA961" t="s">
        <v>74</v>
      </c>
      <c r="BB961">
        <v>275</v>
      </c>
      <c r="BC961">
        <v>279</v>
      </c>
      <c r="BD961" t="s">
        <v>74</v>
      </c>
      <c r="BE961" t="s">
        <v>12737</v>
      </c>
      <c r="BF961" t="str">
        <f>HYPERLINK("http://dx.doi.org/10.3189/172756401781818220","http://dx.doi.org/10.3189/172756401781818220")</f>
        <v>http://dx.doi.org/10.3189/172756401781818220</v>
      </c>
      <c r="BG961" t="s">
        <v>74</v>
      </c>
      <c r="BH961" t="s">
        <v>74</v>
      </c>
      <c r="BI961">
        <v>5</v>
      </c>
      <c r="BJ961" t="s">
        <v>300</v>
      </c>
      <c r="BK961" t="s">
        <v>453</v>
      </c>
      <c r="BL961" t="s">
        <v>113</v>
      </c>
      <c r="BM961" t="s">
        <v>12618</v>
      </c>
      <c r="BN961" t="s">
        <v>74</v>
      </c>
      <c r="BO961" t="s">
        <v>171</v>
      </c>
      <c r="BP961" t="s">
        <v>74</v>
      </c>
      <c r="BQ961" t="s">
        <v>74</v>
      </c>
      <c r="BR961" t="s">
        <v>91</v>
      </c>
      <c r="BS961" t="s">
        <v>12738</v>
      </c>
      <c r="BT961" t="str">
        <f>HYPERLINK("https%3A%2F%2Fwww.webofscience.com%2Fwos%2Fwoscc%2Ffull-record%2FWOS:000173446300043","View Full Record in Web of Science")</f>
        <v>View Full Record in Web of Science</v>
      </c>
    </row>
    <row r="962" spans="1:72" x14ac:dyDescent="0.15">
      <c r="A962" t="s">
        <v>298</v>
      </c>
      <c r="B962" t="s">
        <v>12739</v>
      </c>
      <c r="C962" t="s">
        <v>74</v>
      </c>
      <c r="D962" t="s">
        <v>12604</v>
      </c>
      <c r="E962" t="s">
        <v>74</v>
      </c>
      <c r="F962" t="s">
        <v>12739</v>
      </c>
      <c r="G962" t="s">
        <v>74</v>
      </c>
      <c r="H962" t="s">
        <v>74</v>
      </c>
      <c r="I962" t="s">
        <v>12740</v>
      </c>
      <c r="J962" t="s">
        <v>12606</v>
      </c>
      <c r="K962" t="s">
        <v>12649</v>
      </c>
      <c r="L962" t="s">
        <v>74</v>
      </c>
      <c r="M962" t="s">
        <v>77</v>
      </c>
      <c r="N962" t="s">
        <v>435</v>
      </c>
      <c r="O962" t="s">
        <v>12607</v>
      </c>
      <c r="P962" t="s">
        <v>12608</v>
      </c>
      <c r="Q962" t="s">
        <v>12650</v>
      </c>
      <c r="R962" t="s">
        <v>74</v>
      </c>
      <c r="S962" t="s">
        <v>12610</v>
      </c>
      <c r="T962" t="s">
        <v>74</v>
      </c>
      <c r="U962" t="s">
        <v>12741</v>
      </c>
      <c r="V962" t="s">
        <v>12742</v>
      </c>
      <c r="W962" t="s">
        <v>12743</v>
      </c>
      <c r="X962" t="s">
        <v>1679</v>
      </c>
      <c r="Y962" t="s">
        <v>12744</v>
      </c>
      <c r="Z962" t="s">
        <v>74</v>
      </c>
      <c r="AA962" t="s">
        <v>12745</v>
      </c>
      <c r="AB962" t="s">
        <v>12746</v>
      </c>
      <c r="AC962" t="s">
        <v>74</v>
      </c>
      <c r="AD962" t="s">
        <v>74</v>
      </c>
      <c r="AE962" t="s">
        <v>74</v>
      </c>
      <c r="AF962" t="s">
        <v>74</v>
      </c>
      <c r="AG962">
        <v>52</v>
      </c>
      <c r="AH962">
        <v>77</v>
      </c>
      <c r="AI962">
        <v>81</v>
      </c>
      <c r="AJ962">
        <v>2</v>
      </c>
      <c r="AK962">
        <v>24</v>
      </c>
      <c r="AL962" t="s">
        <v>12595</v>
      </c>
      <c r="AM962" t="s">
        <v>1226</v>
      </c>
      <c r="AN962" t="s">
        <v>12596</v>
      </c>
      <c r="AO962" t="s">
        <v>12597</v>
      </c>
      <c r="AP962" t="s">
        <v>74</v>
      </c>
      <c r="AQ962" t="s">
        <v>12616</v>
      </c>
      <c r="AR962" t="s">
        <v>12656</v>
      </c>
      <c r="AS962" t="s">
        <v>74</v>
      </c>
      <c r="AT962" t="s">
        <v>74</v>
      </c>
      <c r="AU962">
        <v>2001</v>
      </c>
      <c r="AV962">
        <v>33</v>
      </c>
      <c r="AW962" t="s">
        <v>74</v>
      </c>
      <c r="AX962" t="s">
        <v>74</v>
      </c>
      <c r="AY962" t="s">
        <v>74</v>
      </c>
      <c r="AZ962" t="s">
        <v>74</v>
      </c>
      <c r="BA962" t="s">
        <v>74</v>
      </c>
      <c r="BB962">
        <v>297</v>
      </c>
      <c r="BC962">
        <v>303</v>
      </c>
      <c r="BD962" t="s">
        <v>74</v>
      </c>
      <c r="BE962" t="s">
        <v>12747</v>
      </c>
      <c r="BF962" t="str">
        <f>HYPERLINK("http://dx.doi.org/10.3189/172756401781818338","http://dx.doi.org/10.3189/172756401781818338")</f>
        <v>http://dx.doi.org/10.3189/172756401781818338</v>
      </c>
      <c r="BG962" t="s">
        <v>74</v>
      </c>
      <c r="BH962" t="s">
        <v>74</v>
      </c>
      <c r="BI962">
        <v>7</v>
      </c>
      <c r="BJ962" t="s">
        <v>300</v>
      </c>
      <c r="BK962" t="s">
        <v>453</v>
      </c>
      <c r="BL962" t="s">
        <v>113</v>
      </c>
      <c r="BM962" t="s">
        <v>12618</v>
      </c>
      <c r="BN962" t="s">
        <v>74</v>
      </c>
      <c r="BO962" t="s">
        <v>171</v>
      </c>
      <c r="BP962" t="s">
        <v>74</v>
      </c>
      <c r="BQ962" t="s">
        <v>74</v>
      </c>
      <c r="BR962" t="s">
        <v>91</v>
      </c>
      <c r="BS962" t="s">
        <v>12748</v>
      </c>
      <c r="BT962" t="str">
        <f>HYPERLINK("https%3A%2F%2Fwww.webofscience.com%2Fwos%2Fwoscc%2Ffull-record%2FWOS:000173446300046","View Full Record in Web of Science")</f>
        <v>View Full Record in Web of Science</v>
      </c>
    </row>
    <row r="963" spans="1:72" x14ac:dyDescent="0.15">
      <c r="A963" t="s">
        <v>298</v>
      </c>
      <c r="B963" t="s">
        <v>12749</v>
      </c>
      <c r="C963" t="s">
        <v>74</v>
      </c>
      <c r="D963" t="s">
        <v>12604</v>
      </c>
      <c r="E963" t="s">
        <v>74</v>
      </c>
      <c r="F963" t="s">
        <v>12749</v>
      </c>
      <c r="G963" t="s">
        <v>74</v>
      </c>
      <c r="H963" t="s">
        <v>74</v>
      </c>
      <c r="I963" t="s">
        <v>12750</v>
      </c>
      <c r="J963" t="s">
        <v>12606</v>
      </c>
      <c r="K963" t="s">
        <v>12649</v>
      </c>
      <c r="L963" t="s">
        <v>74</v>
      </c>
      <c r="M963" t="s">
        <v>77</v>
      </c>
      <c r="N963" t="s">
        <v>435</v>
      </c>
      <c r="O963" t="s">
        <v>12607</v>
      </c>
      <c r="P963" t="s">
        <v>12608</v>
      </c>
      <c r="Q963" t="s">
        <v>12650</v>
      </c>
      <c r="R963" t="s">
        <v>74</v>
      </c>
      <c r="S963" t="s">
        <v>12610</v>
      </c>
      <c r="T963" t="s">
        <v>74</v>
      </c>
      <c r="U963" t="s">
        <v>74</v>
      </c>
      <c r="V963" t="s">
        <v>12751</v>
      </c>
      <c r="W963" t="s">
        <v>12752</v>
      </c>
      <c r="X963" t="s">
        <v>12753</v>
      </c>
      <c r="Y963" t="s">
        <v>12754</v>
      </c>
      <c r="Z963" t="s">
        <v>74</v>
      </c>
      <c r="AA963" t="s">
        <v>74</v>
      </c>
      <c r="AB963" t="s">
        <v>12755</v>
      </c>
      <c r="AC963" t="s">
        <v>74</v>
      </c>
      <c r="AD963" t="s">
        <v>74</v>
      </c>
      <c r="AE963" t="s">
        <v>74</v>
      </c>
      <c r="AF963" t="s">
        <v>74</v>
      </c>
      <c r="AG963">
        <v>6</v>
      </c>
      <c r="AH963">
        <v>21</v>
      </c>
      <c r="AI963">
        <v>24</v>
      </c>
      <c r="AJ963">
        <v>0</v>
      </c>
      <c r="AK963">
        <v>7</v>
      </c>
      <c r="AL963" t="s">
        <v>12595</v>
      </c>
      <c r="AM963" t="s">
        <v>1226</v>
      </c>
      <c r="AN963" t="s">
        <v>12596</v>
      </c>
      <c r="AO963" t="s">
        <v>12597</v>
      </c>
      <c r="AP963" t="s">
        <v>74</v>
      </c>
      <c r="AQ963" t="s">
        <v>12616</v>
      </c>
      <c r="AR963" t="s">
        <v>12656</v>
      </c>
      <c r="AS963" t="s">
        <v>74</v>
      </c>
      <c r="AT963" t="s">
        <v>74</v>
      </c>
      <c r="AU963">
        <v>2001</v>
      </c>
      <c r="AV963">
        <v>33</v>
      </c>
      <c r="AW963" t="s">
        <v>74</v>
      </c>
      <c r="AX963" t="s">
        <v>74</v>
      </c>
      <c r="AY963" t="s">
        <v>74</v>
      </c>
      <c r="AZ963" t="s">
        <v>74</v>
      </c>
      <c r="BA963" t="s">
        <v>74</v>
      </c>
      <c r="BB963">
        <v>350</v>
      </c>
      <c r="BC963">
        <v>354</v>
      </c>
      <c r="BD963" t="s">
        <v>74</v>
      </c>
      <c r="BE963" t="s">
        <v>12756</v>
      </c>
      <c r="BF963" t="str">
        <f>HYPERLINK("http://dx.doi.org/10.3189/172756401781818941","http://dx.doi.org/10.3189/172756401781818941")</f>
        <v>http://dx.doi.org/10.3189/172756401781818941</v>
      </c>
      <c r="BG963" t="s">
        <v>74</v>
      </c>
      <c r="BH963" t="s">
        <v>74</v>
      </c>
      <c r="BI963">
        <v>5</v>
      </c>
      <c r="BJ963" t="s">
        <v>300</v>
      </c>
      <c r="BK963" t="s">
        <v>453</v>
      </c>
      <c r="BL963" t="s">
        <v>113</v>
      </c>
      <c r="BM963" t="s">
        <v>12618</v>
      </c>
      <c r="BN963" t="s">
        <v>74</v>
      </c>
      <c r="BO963" t="s">
        <v>171</v>
      </c>
      <c r="BP963" t="s">
        <v>74</v>
      </c>
      <c r="BQ963" t="s">
        <v>74</v>
      </c>
      <c r="BR963" t="s">
        <v>91</v>
      </c>
      <c r="BS963" t="s">
        <v>12757</v>
      </c>
      <c r="BT963" t="str">
        <f>HYPERLINK("https%3A%2F%2Fwww.webofscience.com%2Fwos%2Fwoscc%2Ffull-record%2FWOS:000173446300055","View Full Record in Web of Science")</f>
        <v>View Full Record in Web of Science</v>
      </c>
    </row>
    <row r="964" spans="1:72" x14ac:dyDescent="0.15">
      <c r="A964" t="s">
        <v>298</v>
      </c>
      <c r="B964" t="s">
        <v>12758</v>
      </c>
      <c r="C964" t="s">
        <v>74</v>
      </c>
      <c r="D964" t="s">
        <v>12604</v>
      </c>
      <c r="E964" t="s">
        <v>74</v>
      </c>
      <c r="F964" t="s">
        <v>12758</v>
      </c>
      <c r="G964" t="s">
        <v>74</v>
      </c>
      <c r="H964" t="s">
        <v>74</v>
      </c>
      <c r="I964" t="s">
        <v>12759</v>
      </c>
      <c r="J964" t="s">
        <v>12606</v>
      </c>
      <c r="K964" t="s">
        <v>12587</v>
      </c>
      <c r="L964" t="s">
        <v>74</v>
      </c>
      <c r="M964" t="s">
        <v>77</v>
      </c>
      <c r="N964" t="s">
        <v>435</v>
      </c>
      <c r="O964" t="s">
        <v>12607</v>
      </c>
      <c r="P964" t="s">
        <v>12608</v>
      </c>
      <c r="Q964" t="s">
        <v>12609</v>
      </c>
      <c r="R964" t="s">
        <v>74</v>
      </c>
      <c r="S964" t="s">
        <v>12610</v>
      </c>
      <c r="T964" t="s">
        <v>74</v>
      </c>
      <c r="U964" t="s">
        <v>74</v>
      </c>
      <c r="V964" t="s">
        <v>12760</v>
      </c>
      <c r="W964" t="s">
        <v>12761</v>
      </c>
      <c r="X964" t="s">
        <v>12762</v>
      </c>
      <c r="Y964" t="s">
        <v>12763</v>
      </c>
      <c r="Z964" t="s">
        <v>74</v>
      </c>
      <c r="AA964" t="s">
        <v>74</v>
      </c>
      <c r="AB964" t="s">
        <v>74</v>
      </c>
      <c r="AC964" t="s">
        <v>74</v>
      </c>
      <c r="AD964" t="s">
        <v>74</v>
      </c>
      <c r="AE964" t="s">
        <v>74</v>
      </c>
      <c r="AF964" t="s">
        <v>74</v>
      </c>
      <c r="AG964">
        <v>10</v>
      </c>
      <c r="AH964">
        <v>37</v>
      </c>
      <c r="AI964">
        <v>49</v>
      </c>
      <c r="AJ964">
        <v>1</v>
      </c>
      <c r="AK964">
        <v>10</v>
      </c>
      <c r="AL964" t="s">
        <v>12595</v>
      </c>
      <c r="AM964" t="s">
        <v>1226</v>
      </c>
      <c r="AN964" t="s">
        <v>12596</v>
      </c>
      <c r="AO964" t="s">
        <v>12597</v>
      </c>
      <c r="AP964" t="s">
        <v>74</v>
      </c>
      <c r="AQ964" t="s">
        <v>12616</v>
      </c>
      <c r="AR964" t="s">
        <v>12599</v>
      </c>
      <c r="AS964" t="s">
        <v>74</v>
      </c>
      <c r="AT964" t="s">
        <v>74</v>
      </c>
      <c r="AU964">
        <v>2001</v>
      </c>
      <c r="AV964">
        <v>33</v>
      </c>
      <c r="AW964" t="s">
        <v>74</v>
      </c>
      <c r="AX964" t="s">
        <v>74</v>
      </c>
      <c r="AY964" t="s">
        <v>74</v>
      </c>
      <c r="AZ964" t="s">
        <v>74</v>
      </c>
      <c r="BA964" t="s">
        <v>74</v>
      </c>
      <c r="BB964">
        <v>355</v>
      </c>
      <c r="BC964">
        <v>360</v>
      </c>
      <c r="BD964" t="s">
        <v>74</v>
      </c>
      <c r="BE964" t="s">
        <v>12764</v>
      </c>
      <c r="BF964" t="str">
        <f>HYPERLINK("http://dx.doi.org/10.3189/172756401781818527","http://dx.doi.org/10.3189/172756401781818527")</f>
        <v>http://dx.doi.org/10.3189/172756401781818527</v>
      </c>
      <c r="BG964" t="s">
        <v>74</v>
      </c>
      <c r="BH964" t="s">
        <v>74</v>
      </c>
      <c r="BI964">
        <v>6</v>
      </c>
      <c r="BJ964" t="s">
        <v>300</v>
      </c>
      <c r="BK964" t="s">
        <v>453</v>
      </c>
      <c r="BL964" t="s">
        <v>113</v>
      </c>
      <c r="BM964" t="s">
        <v>12618</v>
      </c>
      <c r="BN964" t="s">
        <v>74</v>
      </c>
      <c r="BO964" t="s">
        <v>171</v>
      </c>
      <c r="BP964" t="s">
        <v>74</v>
      </c>
      <c r="BQ964" t="s">
        <v>74</v>
      </c>
      <c r="BR964" t="s">
        <v>91</v>
      </c>
      <c r="BS964" t="s">
        <v>12765</v>
      </c>
      <c r="BT964" t="str">
        <f>HYPERLINK("https%3A%2F%2Fwww.webofscience.com%2Fwos%2Fwoscc%2Ffull-record%2FWOS:000173446300056","View Full Record in Web of Science")</f>
        <v>View Full Record in Web of Science</v>
      </c>
    </row>
    <row r="965" spans="1:72" x14ac:dyDescent="0.15">
      <c r="A965" t="s">
        <v>298</v>
      </c>
      <c r="B965" t="s">
        <v>12766</v>
      </c>
      <c r="C965" t="s">
        <v>74</v>
      </c>
      <c r="D965" t="s">
        <v>12604</v>
      </c>
      <c r="E965" t="s">
        <v>74</v>
      </c>
      <c r="F965" t="s">
        <v>12766</v>
      </c>
      <c r="G965" t="s">
        <v>74</v>
      </c>
      <c r="H965" t="s">
        <v>74</v>
      </c>
      <c r="I965" t="s">
        <v>12767</v>
      </c>
      <c r="J965" t="s">
        <v>12606</v>
      </c>
      <c r="K965" t="s">
        <v>12649</v>
      </c>
      <c r="L965" t="s">
        <v>74</v>
      </c>
      <c r="M965" t="s">
        <v>77</v>
      </c>
      <c r="N965" t="s">
        <v>435</v>
      </c>
      <c r="O965" t="s">
        <v>12607</v>
      </c>
      <c r="P965" t="s">
        <v>12608</v>
      </c>
      <c r="Q965" t="s">
        <v>12650</v>
      </c>
      <c r="R965" t="s">
        <v>74</v>
      </c>
      <c r="S965" t="s">
        <v>12610</v>
      </c>
      <c r="T965" t="s">
        <v>74</v>
      </c>
      <c r="U965" t="s">
        <v>12768</v>
      </c>
      <c r="V965" t="s">
        <v>12769</v>
      </c>
      <c r="W965" t="s">
        <v>12770</v>
      </c>
      <c r="X965" t="s">
        <v>7524</v>
      </c>
      <c r="Y965" t="s">
        <v>12771</v>
      </c>
      <c r="Z965" t="s">
        <v>74</v>
      </c>
      <c r="AA965" t="s">
        <v>12772</v>
      </c>
      <c r="AB965" t="s">
        <v>12773</v>
      </c>
      <c r="AC965" t="s">
        <v>74</v>
      </c>
      <c r="AD965" t="s">
        <v>74</v>
      </c>
      <c r="AE965" t="s">
        <v>74</v>
      </c>
      <c r="AF965" t="s">
        <v>74</v>
      </c>
      <c r="AG965">
        <v>11</v>
      </c>
      <c r="AH965">
        <v>16</v>
      </c>
      <c r="AI965">
        <v>16</v>
      </c>
      <c r="AJ965">
        <v>0</v>
      </c>
      <c r="AK965">
        <v>8</v>
      </c>
      <c r="AL965" t="s">
        <v>12595</v>
      </c>
      <c r="AM965" t="s">
        <v>1226</v>
      </c>
      <c r="AN965" t="s">
        <v>12596</v>
      </c>
      <c r="AO965" t="s">
        <v>12597</v>
      </c>
      <c r="AP965" t="s">
        <v>74</v>
      </c>
      <c r="AQ965" t="s">
        <v>12616</v>
      </c>
      <c r="AR965" t="s">
        <v>12656</v>
      </c>
      <c r="AS965" t="s">
        <v>74</v>
      </c>
      <c r="AT965" t="s">
        <v>74</v>
      </c>
      <c r="AU965">
        <v>2001</v>
      </c>
      <c r="AV965">
        <v>33</v>
      </c>
      <c r="AW965" t="s">
        <v>74</v>
      </c>
      <c r="AX965" t="s">
        <v>74</v>
      </c>
      <c r="AY965" t="s">
        <v>74</v>
      </c>
      <c r="AZ965" t="s">
        <v>74</v>
      </c>
      <c r="BA965" t="s">
        <v>74</v>
      </c>
      <c r="BB965">
        <v>368</v>
      </c>
      <c r="BC965">
        <v>372</v>
      </c>
      <c r="BD965" t="s">
        <v>74</v>
      </c>
      <c r="BE965" t="s">
        <v>12774</v>
      </c>
      <c r="BF965" t="str">
        <f>HYPERLINK("http://dx.doi.org/10.3189/172756401781818464","http://dx.doi.org/10.3189/172756401781818464")</f>
        <v>http://dx.doi.org/10.3189/172756401781818464</v>
      </c>
      <c r="BG965" t="s">
        <v>74</v>
      </c>
      <c r="BH965" t="s">
        <v>74</v>
      </c>
      <c r="BI965">
        <v>5</v>
      </c>
      <c r="BJ965" t="s">
        <v>300</v>
      </c>
      <c r="BK965" t="s">
        <v>453</v>
      </c>
      <c r="BL965" t="s">
        <v>113</v>
      </c>
      <c r="BM965" t="s">
        <v>12618</v>
      </c>
      <c r="BN965" t="s">
        <v>74</v>
      </c>
      <c r="BO965" t="s">
        <v>171</v>
      </c>
      <c r="BP965" t="s">
        <v>74</v>
      </c>
      <c r="BQ965" t="s">
        <v>74</v>
      </c>
      <c r="BR965" t="s">
        <v>91</v>
      </c>
      <c r="BS965" t="s">
        <v>12775</v>
      </c>
      <c r="BT965" t="str">
        <f>HYPERLINK("https%3A%2F%2Fwww.webofscience.com%2Fwos%2Fwoscc%2Ffull-record%2FWOS:000173446300058","View Full Record in Web of Science")</f>
        <v>View Full Record in Web of Science</v>
      </c>
    </row>
    <row r="966" spans="1:72" x14ac:dyDescent="0.15">
      <c r="A966" t="s">
        <v>298</v>
      </c>
      <c r="B966" t="s">
        <v>12776</v>
      </c>
      <c r="C966" t="s">
        <v>74</v>
      </c>
      <c r="D966" t="s">
        <v>12604</v>
      </c>
      <c r="E966" t="s">
        <v>74</v>
      </c>
      <c r="F966" t="s">
        <v>12776</v>
      </c>
      <c r="G966" t="s">
        <v>74</v>
      </c>
      <c r="H966" t="s">
        <v>74</v>
      </c>
      <c r="I966" t="s">
        <v>12777</v>
      </c>
      <c r="J966" t="s">
        <v>12606</v>
      </c>
      <c r="K966" t="s">
        <v>12649</v>
      </c>
      <c r="L966" t="s">
        <v>74</v>
      </c>
      <c r="M966" t="s">
        <v>77</v>
      </c>
      <c r="N966" t="s">
        <v>435</v>
      </c>
      <c r="O966" t="s">
        <v>12607</v>
      </c>
      <c r="P966" t="s">
        <v>12608</v>
      </c>
      <c r="Q966" t="s">
        <v>12650</v>
      </c>
      <c r="R966" t="s">
        <v>74</v>
      </c>
      <c r="S966" t="s">
        <v>12610</v>
      </c>
      <c r="T966" t="s">
        <v>74</v>
      </c>
      <c r="U966" t="s">
        <v>12778</v>
      </c>
      <c r="V966" t="s">
        <v>12779</v>
      </c>
      <c r="W966" t="s">
        <v>12780</v>
      </c>
      <c r="X966" t="s">
        <v>12781</v>
      </c>
      <c r="Y966" t="s">
        <v>12782</v>
      </c>
      <c r="Z966" t="s">
        <v>74</v>
      </c>
      <c r="AA966" t="s">
        <v>12783</v>
      </c>
      <c r="AB966" t="s">
        <v>12784</v>
      </c>
      <c r="AC966" t="s">
        <v>74</v>
      </c>
      <c r="AD966" t="s">
        <v>74</v>
      </c>
      <c r="AE966" t="s">
        <v>74</v>
      </c>
      <c r="AF966" t="s">
        <v>74</v>
      </c>
      <c r="AG966">
        <v>13</v>
      </c>
      <c r="AH966">
        <v>7</v>
      </c>
      <c r="AI966">
        <v>8</v>
      </c>
      <c r="AJ966">
        <v>0</v>
      </c>
      <c r="AK966">
        <v>3</v>
      </c>
      <c r="AL966" t="s">
        <v>12595</v>
      </c>
      <c r="AM966" t="s">
        <v>1226</v>
      </c>
      <c r="AN966" t="s">
        <v>12596</v>
      </c>
      <c r="AO966" t="s">
        <v>12597</v>
      </c>
      <c r="AP966" t="s">
        <v>74</v>
      </c>
      <c r="AQ966" t="s">
        <v>12616</v>
      </c>
      <c r="AR966" t="s">
        <v>12656</v>
      </c>
      <c r="AS966" t="s">
        <v>74</v>
      </c>
      <c r="AT966" t="s">
        <v>74</v>
      </c>
      <c r="AU966">
        <v>2001</v>
      </c>
      <c r="AV966">
        <v>33</v>
      </c>
      <c r="AW966" t="s">
        <v>74</v>
      </c>
      <c r="AX966" t="s">
        <v>74</v>
      </c>
      <c r="AY966" t="s">
        <v>74</v>
      </c>
      <c r="AZ966" t="s">
        <v>74</v>
      </c>
      <c r="BA966" t="s">
        <v>74</v>
      </c>
      <c r="BB966">
        <v>373</v>
      </c>
      <c r="BC966">
        <v>376</v>
      </c>
      <c r="BD966" t="s">
        <v>74</v>
      </c>
      <c r="BE966" t="s">
        <v>12785</v>
      </c>
      <c r="BF966" t="str">
        <f>HYPERLINK("http://dx.doi.org/10.3189/172756401781818455","http://dx.doi.org/10.3189/172756401781818455")</f>
        <v>http://dx.doi.org/10.3189/172756401781818455</v>
      </c>
      <c r="BG966" t="s">
        <v>74</v>
      </c>
      <c r="BH966" t="s">
        <v>74</v>
      </c>
      <c r="BI966">
        <v>4</v>
      </c>
      <c r="BJ966" t="s">
        <v>300</v>
      </c>
      <c r="BK966" t="s">
        <v>453</v>
      </c>
      <c r="BL966" t="s">
        <v>113</v>
      </c>
      <c r="BM966" t="s">
        <v>12618</v>
      </c>
      <c r="BN966" t="s">
        <v>74</v>
      </c>
      <c r="BO966" t="s">
        <v>171</v>
      </c>
      <c r="BP966" t="s">
        <v>74</v>
      </c>
      <c r="BQ966" t="s">
        <v>74</v>
      </c>
      <c r="BR966" t="s">
        <v>91</v>
      </c>
      <c r="BS966" t="s">
        <v>12786</v>
      </c>
      <c r="BT966" t="str">
        <f>HYPERLINK("https%3A%2F%2Fwww.webofscience.com%2Fwos%2Fwoscc%2Ffull-record%2FWOS:000173446300059","View Full Record in Web of Science")</f>
        <v>View Full Record in Web of Science</v>
      </c>
    </row>
    <row r="967" spans="1:72" x14ac:dyDescent="0.15">
      <c r="A967" t="s">
        <v>298</v>
      </c>
      <c r="B967" t="s">
        <v>12787</v>
      </c>
      <c r="C967" t="s">
        <v>74</v>
      </c>
      <c r="D967" t="s">
        <v>12604</v>
      </c>
      <c r="E967" t="s">
        <v>74</v>
      </c>
      <c r="F967" t="s">
        <v>12787</v>
      </c>
      <c r="G967" t="s">
        <v>74</v>
      </c>
      <c r="H967" t="s">
        <v>74</v>
      </c>
      <c r="I967" t="s">
        <v>12788</v>
      </c>
      <c r="J967" t="s">
        <v>12606</v>
      </c>
      <c r="K967" t="s">
        <v>12649</v>
      </c>
      <c r="L967" t="s">
        <v>74</v>
      </c>
      <c r="M967" t="s">
        <v>77</v>
      </c>
      <c r="N967" t="s">
        <v>435</v>
      </c>
      <c r="O967" t="s">
        <v>12607</v>
      </c>
      <c r="P967" t="s">
        <v>12608</v>
      </c>
      <c r="Q967" t="s">
        <v>12650</v>
      </c>
      <c r="R967" t="s">
        <v>74</v>
      </c>
      <c r="S967" t="s">
        <v>12610</v>
      </c>
      <c r="T967" t="s">
        <v>74</v>
      </c>
      <c r="U967" t="s">
        <v>12789</v>
      </c>
      <c r="V967" t="s">
        <v>12790</v>
      </c>
      <c r="W967" t="s">
        <v>12791</v>
      </c>
      <c r="X967" t="s">
        <v>7524</v>
      </c>
      <c r="Y967" t="s">
        <v>12792</v>
      </c>
      <c r="Z967" t="s">
        <v>74</v>
      </c>
      <c r="AA967" t="s">
        <v>12793</v>
      </c>
      <c r="AB967" t="s">
        <v>12794</v>
      </c>
      <c r="AC967" t="s">
        <v>74</v>
      </c>
      <c r="AD967" t="s">
        <v>74</v>
      </c>
      <c r="AE967" t="s">
        <v>74</v>
      </c>
      <c r="AF967" t="s">
        <v>74</v>
      </c>
      <c r="AG967">
        <v>21</v>
      </c>
      <c r="AH967">
        <v>25</v>
      </c>
      <c r="AI967">
        <v>28</v>
      </c>
      <c r="AJ967">
        <v>0</v>
      </c>
      <c r="AK967">
        <v>9</v>
      </c>
      <c r="AL967" t="s">
        <v>12595</v>
      </c>
      <c r="AM967" t="s">
        <v>1226</v>
      </c>
      <c r="AN967" t="s">
        <v>12596</v>
      </c>
      <c r="AO967" t="s">
        <v>12597</v>
      </c>
      <c r="AP967" t="s">
        <v>74</v>
      </c>
      <c r="AQ967" t="s">
        <v>12616</v>
      </c>
      <c r="AR967" t="s">
        <v>12656</v>
      </c>
      <c r="AS967" t="s">
        <v>74</v>
      </c>
      <c r="AT967" t="s">
        <v>74</v>
      </c>
      <c r="AU967">
        <v>2001</v>
      </c>
      <c r="AV967">
        <v>33</v>
      </c>
      <c r="AW967" t="s">
        <v>74</v>
      </c>
      <c r="AX967" t="s">
        <v>74</v>
      </c>
      <c r="AY967" t="s">
        <v>74</v>
      </c>
      <c r="AZ967" t="s">
        <v>74</v>
      </c>
      <c r="BA967" t="s">
        <v>74</v>
      </c>
      <c r="BB967">
        <v>377</v>
      </c>
      <c r="BC967">
        <v>384</v>
      </c>
      <c r="BD967" t="s">
        <v>74</v>
      </c>
      <c r="BE967" t="s">
        <v>12795</v>
      </c>
      <c r="BF967" t="str">
        <f>HYPERLINK("http://dx.doi.org/10.3189/172756401781818112","http://dx.doi.org/10.3189/172756401781818112")</f>
        <v>http://dx.doi.org/10.3189/172756401781818112</v>
      </c>
      <c r="BG967" t="s">
        <v>74</v>
      </c>
      <c r="BH967" t="s">
        <v>74</v>
      </c>
      <c r="BI967">
        <v>8</v>
      </c>
      <c r="BJ967" t="s">
        <v>300</v>
      </c>
      <c r="BK967" t="s">
        <v>453</v>
      </c>
      <c r="BL967" t="s">
        <v>113</v>
      </c>
      <c r="BM967" t="s">
        <v>12618</v>
      </c>
      <c r="BN967" t="s">
        <v>74</v>
      </c>
      <c r="BO967" t="s">
        <v>171</v>
      </c>
      <c r="BP967" t="s">
        <v>74</v>
      </c>
      <c r="BQ967" t="s">
        <v>74</v>
      </c>
      <c r="BR967" t="s">
        <v>91</v>
      </c>
      <c r="BS967" t="s">
        <v>12796</v>
      </c>
      <c r="BT967" t="str">
        <f>HYPERLINK("https%3A%2F%2Fwww.webofscience.com%2Fwos%2Fwoscc%2Ffull-record%2FWOS:000173446300060","View Full Record in Web of Science")</f>
        <v>View Full Record in Web of Science</v>
      </c>
    </row>
    <row r="968" spans="1:72" x14ac:dyDescent="0.15">
      <c r="A968" t="s">
        <v>298</v>
      </c>
      <c r="B968" t="s">
        <v>12797</v>
      </c>
      <c r="C968" t="s">
        <v>74</v>
      </c>
      <c r="D968" t="s">
        <v>12604</v>
      </c>
      <c r="E968" t="s">
        <v>74</v>
      </c>
      <c r="F968" t="s">
        <v>12797</v>
      </c>
      <c r="G968" t="s">
        <v>74</v>
      </c>
      <c r="H968" t="s">
        <v>74</v>
      </c>
      <c r="I968" t="s">
        <v>12798</v>
      </c>
      <c r="J968" t="s">
        <v>12606</v>
      </c>
      <c r="K968" t="s">
        <v>12649</v>
      </c>
      <c r="L968" t="s">
        <v>74</v>
      </c>
      <c r="M968" t="s">
        <v>77</v>
      </c>
      <c r="N968" t="s">
        <v>435</v>
      </c>
      <c r="O968" t="s">
        <v>12607</v>
      </c>
      <c r="P968" t="s">
        <v>12608</v>
      </c>
      <c r="Q968" t="s">
        <v>12650</v>
      </c>
      <c r="R968" t="s">
        <v>74</v>
      </c>
      <c r="S968" t="s">
        <v>12610</v>
      </c>
      <c r="T968" t="s">
        <v>74</v>
      </c>
      <c r="U968" t="s">
        <v>74</v>
      </c>
      <c r="V968" t="s">
        <v>12799</v>
      </c>
      <c r="W968" t="s">
        <v>12800</v>
      </c>
      <c r="X968" t="s">
        <v>3393</v>
      </c>
      <c r="Y968" t="s">
        <v>12801</v>
      </c>
      <c r="Z968" t="s">
        <v>74</v>
      </c>
      <c r="AA968" t="s">
        <v>12802</v>
      </c>
      <c r="AB968" t="s">
        <v>12803</v>
      </c>
      <c r="AC968" t="s">
        <v>74</v>
      </c>
      <c r="AD968" t="s">
        <v>74</v>
      </c>
      <c r="AE968" t="s">
        <v>74</v>
      </c>
      <c r="AF968" t="s">
        <v>74</v>
      </c>
      <c r="AG968">
        <v>8</v>
      </c>
      <c r="AH968">
        <v>97</v>
      </c>
      <c r="AI968">
        <v>103</v>
      </c>
      <c r="AJ968">
        <v>2</v>
      </c>
      <c r="AK968">
        <v>11</v>
      </c>
      <c r="AL968" t="s">
        <v>12595</v>
      </c>
      <c r="AM968" t="s">
        <v>1226</v>
      </c>
      <c r="AN968" t="s">
        <v>12596</v>
      </c>
      <c r="AO968" t="s">
        <v>12597</v>
      </c>
      <c r="AP968" t="s">
        <v>74</v>
      </c>
      <c r="AQ968" t="s">
        <v>12616</v>
      </c>
      <c r="AR968" t="s">
        <v>12656</v>
      </c>
      <c r="AS968" t="s">
        <v>74</v>
      </c>
      <c r="AT968" t="s">
        <v>74</v>
      </c>
      <c r="AU968">
        <v>2001</v>
      </c>
      <c r="AV968">
        <v>33</v>
      </c>
      <c r="AW968" t="s">
        <v>74</v>
      </c>
      <c r="AX968" t="s">
        <v>74</v>
      </c>
      <c r="AY968" t="s">
        <v>74</v>
      </c>
      <c r="AZ968" t="s">
        <v>74</v>
      </c>
      <c r="BA968" t="s">
        <v>74</v>
      </c>
      <c r="BB968">
        <v>391</v>
      </c>
      <c r="BC968">
        <v>398</v>
      </c>
      <c r="BD968" t="s">
        <v>74</v>
      </c>
      <c r="BE968" t="s">
        <v>12804</v>
      </c>
      <c r="BF968" t="str">
        <f>HYPERLINK("http://dx.doi.org/10.3189/172756401781818518","http://dx.doi.org/10.3189/172756401781818518")</f>
        <v>http://dx.doi.org/10.3189/172756401781818518</v>
      </c>
      <c r="BG968" t="s">
        <v>74</v>
      </c>
      <c r="BH968" t="s">
        <v>74</v>
      </c>
      <c r="BI968">
        <v>8</v>
      </c>
      <c r="BJ968" t="s">
        <v>300</v>
      </c>
      <c r="BK968" t="s">
        <v>453</v>
      </c>
      <c r="BL968" t="s">
        <v>113</v>
      </c>
      <c r="BM968" t="s">
        <v>12618</v>
      </c>
      <c r="BN968" t="s">
        <v>74</v>
      </c>
      <c r="BO968" t="s">
        <v>171</v>
      </c>
      <c r="BP968" t="s">
        <v>74</v>
      </c>
      <c r="BQ968" t="s">
        <v>74</v>
      </c>
      <c r="BR968" t="s">
        <v>91</v>
      </c>
      <c r="BS968" t="s">
        <v>12805</v>
      </c>
      <c r="BT968" t="str">
        <f>HYPERLINK("https%3A%2F%2Fwww.webofscience.com%2Fwos%2Fwoscc%2Ffull-record%2FWOS:000173446300062","View Full Record in Web of Science")</f>
        <v>View Full Record in Web of Science</v>
      </c>
    </row>
    <row r="969" spans="1:72" x14ac:dyDescent="0.15">
      <c r="A969" t="s">
        <v>298</v>
      </c>
      <c r="B969" t="s">
        <v>12806</v>
      </c>
      <c r="C969" t="s">
        <v>74</v>
      </c>
      <c r="D969" t="s">
        <v>12604</v>
      </c>
      <c r="E969" t="s">
        <v>74</v>
      </c>
      <c r="F969" t="s">
        <v>12806</v>
      </c>
      <c r="G969" t="s">
        <v>74</v>
      </c>
      <c r="H969" t="s">
        <v>74</v>
      </c>
      <c r="I969" t="s">
        <v>12807</v>
      </c>
      <c r="J969" t="s">
        <v>12606</v>
      </c>
      <c r="K969" t="s">
        <v>12587</v>
      </c>
      <c r="L969" t="s">
        <v>74</v>
      </c>
      <c r="M969" t="s">
        <v>77</v>
      </c>
      <c r="N969" t="s">
        <v>435</v>
      </c>
      <c r="O969" t="s">
        <v>12607</v>
      </c>
      <c r="P969" t="s">
        <v>12608</v>
      </c>
      <c r="Q969" t="s">
        <v>12609</v>
      </c>
      <c r="R969" t="s">
        <v>74</v>
      </c>
      <c r="S969" t="s">
        <v>12610</v>
      </c>
      <c r="T969" t="s">
        <v>74</v>
      </c>
      <c r="U969" t="s">
        <v>12808</v>
      </c>
      <c r="V969" t="s">
        <v>12809</v>
      </c>
      <c r="W969" t="s">
        <v>12810</v>
      </c>
      <c r="X969" t="s">
        <v>7868</v>
      </c>
      <c r="Y969" t="s">
        <v>12811</v>
      </c>
      <c r="Z969" t="s">
        <v>74</v>
      </c>
      <c r="AA969" t="s">
        <v>12812</v>
      </c>
      <c r="AB969" t="s">
        <v>12813</v>
      </c>
      <c r="AC969" t="s">
        <v>74</v>
      </c>
      <c r="AD969" t="s">
        <v>74</v>
      </c>
      <c r="AE969" t="s">
        <v>74</v>
      </c>
      <c r="AF969" t="s">
        <v>74</v>
      </c>
      <c r="AG969">
        <v>22</v>
      </c>
      <c r="AH969">
        <v>49</v>
      </c>
      <c r="AI969">
        <v>54</v>
      </c>
      <c r="AJ969">
        <v>0</v>
      </c>
      <c r="AK969">
        <v>9</v>
      </c>
      <c r="AL969" t="s">
        <v>12595</v>
      </c>
      <c r="AM969" t="s">
        <v>1226</v>
      </c>
      <c r="AN969" t="s">
        <v>12596</v>
      </c>
      <c r="AO969" t="s">
        <v>12597</v>
      </c>
      <c r="AP969" t="s">
        <v>74</v>
      </c>
      <c r="AQ969" t="s">
        <v>12616</v>
      </c>
      <c r="AR969" t="s">
        <v>12599</v>
      </c>
      <c r="AS969" t="s">
        <v>74</v>
      </c>
      <c r="AT969" t="s">
        <v>74</v>
      </c>
      <c r="AU969">
        <v>2001</v>
      </c>
      <c r="AV969">
        <v>33</v>
      </c>
      <c r="AW969" t="s">
        <v>74</v>
      </c>
      <c r="AX969" t="s">
        <v>74</v>
      </c>
      <c r="AY969" t="s">
        <v>74</v>
      </c>
      <c r="AZ969" t="s">
        <v>74</v>
      </c>
      <c r="BA969" t="s">
        <v>74</v>
      </c>
      <c r="BB969">
        <v>399</v>
      </c>
      <c r="BC969">
        <v>406</v>
      </c>
      <c r="BD969" t="s">
        <v>74</v>
      </c>
      <c r="BE969" t="s">
        <v>12814</v>
      </c>
      <c r="BF969" t="str">
        <f>HYPERLINK("http://dx.doi.org/10.3189/172756401781818185","http://dx.doi.org/10.3189/172756401781818185")</f>
        <v>http://dx.doi.org/10.3189/172756401781818185</v>
      </c>
      <c r="BG969" t="s">
        <v>74</v>
      </c>
      <c r="BH969" t="s">
        <v>74</v>
      </c>
      <c r="BI969">
        <v>8</v>
      </c>
      <c r="BJ969" t="s">
        <v>300</v>
      </c>
      <c r="BK969" t="s">
        <v>453</v>
      </c>
      <c r="BL969" t="s">
        <v>113</v>
      </c>
      <c r="BM969" t="s">
        <v>12618</v>
      </c>
      <c r="BN969" t="s">
        <v>74</v>
      </c>
      <c r="BO969" t="s">
        <v>171</v>
      </c>
      <c r="BP969" t="s">
        <v>74</v>
      </c>
      <c r="BQ969" t="s">
        <v>74</v>
      </c>
      <c r="BR969" t="s">
        <v>91</v>
      </c>
      <c r="BS969" t="s">
        <v>12815</v>
      </c>
      <c r="BT969" t="str">
        <f>HYPERLINK("https%3A%2F%2Fwww.webofscience.com%2Fwos%2Fwoscc%2Ffull-record%2FWOS:000173446300063","View Full Record in Web of Science")</f>
        <v>View Full Record in Web of Science</v>
      </c>
    </row>
    <row r="970" spans="1:72" x14ac:dyDescent="0.15">
      <c r="A970" t="s">
        <v>298</v>
      </c>
      <c r="B970" t="s">
        <v>12816</v>
      </c>
      <c r="C970" t="s">
        <v>74</v>
      </c>
      <c r="D970" t="s">
        <v>12604</v>
      </c>
      <c r="E970" t="s">
        <v>74</v>
      </c>
      <c r="F970" t="s">
        <v>12816</v>
      </c>
      <c r="G970" t="s">
        <v>74</v>
      </c>
      <c r="H970" t="s">
        <v>74</v>
      </c>
      <c r="I970" t="s">
        <v>12817</v>
      </c>
      <c r="J970" t="s">
        <v>12606</v>
      </c>
      <c r="K970" t="s">
        <v>12587</v>
      </c>
      <c r="L970" t="s">
        <v>74</v>
      </c>
      <c r="M970" t="s">
        <v>77</v>
      </c>
      <c r="N970" t="s">
        <v>435</v>
      </c>
      <c r="O970" t="s">
        <v>12607</v>
      </c>
      <c r="P970" t="s">
        <v>12608</v>
      </c>
      <c r="Q970" t="s">
        <v>12609</v>
      </c>
      <c r="R970" t="s">
        <v>74</v>
      </c>
      <c r="S970" t="s">
        <v>12610</v>
      </c>
      <c r="T970" t="s">
        <v>74</v>
      </c>
      <c r="U970" t="s">
        <v>12818</v>
      </c>
      <c r="V970" t="s">
        <v>12819</v>
      </c>
      <c r="W970" t="s">
        <v>2323</v>
      </c>
      <c r="X970" t="s">
        <v>1679</v>
      </c>
      <c r="Y970" t="s">
        <v>12820</v>
      </c>
      <c r="Z970" t="s">
        <v>74</v>
      </c>
      <c r="AA970" t="s">
        <v>74</v>
      </c>
      <c r="AB970" t="s">
        <v>5085</v>
      </c>
      <c r="AC970" t="s">
        <v>74</v>
      </c>
      <c r="AD970" t="s">
        <v>74</v>
      </c>
      <c r="AE970" t="s">
        <v>74</v>
      </c>
      <c r="AF970" t="s">
        <v>74</v>
      </c>
      <c r="AG970">
        <v>29</v>
      </c>
      <c r="AH970">
        <v>19</v>
      </c>
      <c r="AI970">
        <v>19</v>
      </c>
      <c r="AJ970">
        <v>1</v>
      </c>
      <c r="AK970">
        <v>8</v>
      </c>
      <c r="AL970" t="s">
        <v>12595</v>
      </c>
      <c r="AM970" t="s">
        <v>1226</v>
      </c>
      <c r="AN970" t="s">
        <v>12596</v>
      </c>
      <c r="AO970" t="s">
        <v>12597</v>
      </c>
      <c r="AP970" t="s">
        <v>74</v>
      </c>
      <c r="AQ970" t="s">
        <v>12616</v>
      </c>
      <c r="AR970" t="s">
        <v>12599</v>
      </c>
      <c r="AS970" t="s">
        <v>74</v>
      </c>
      <c r="AT970" t="s">
        <v>74</v>
      </c>
      <c r="AU970">
        <v>2001</v>
      </c>
      <c r="AV970">
        <v>33</v>
      </c>
      <c r="AW970" t="s">
        <v>74</v>
      </c>
      <c r="AX970" t="s">
        <v>74</v>
      </c>
      <c r="AY970" t="s">
        <v>74</v>
      </c>
      <c r="AZ970" t="s">
        <v>74</v>
      </c>
      <c r="BA970" t="s">
        <v>74</v>
      </c>
      <c r="BB970">
        <v>419</v>
      </c>
      <c r="BC970">
        <v>424</v>
      </c>
      <c r="BD970" t="s">
        <v>74</v>
      </c>
      <c r="BE970" t="s">
        <v>12821</v>
      </c>
      <c r="BF970" t="str">
        <f>HYPERLINK("http://dx.doi.org/10.3189/172756401781818121","http://dx.doi.org/10.3189/172756401781818121")</f>
        <v>http://dx.doi.org/10.3189/172756401781818121</v>
      </c>
      <c r="BG970" t="s">
        <v>74</v>
      </c>
      <c r="BH970" t="s">
        <v>74</v>
      </c>
      <c r="BI970">
        <v>6</v>
      </c>
      <c r="BJ970" t="s">
        <v>300</v>
      </c>
      <c r="BK970" t="s">
        <v>453</v>
      </c>
      <c r="BL970" t="s">
        <v>113</v>
      </c>
      <c r="BM970" t="s">
        <v>12618</v>
      </c>
      <c r="BN970" t="s">
        <v>74</v>
      </c>
      <c r="BO970" t="s">
        <v>171</v>
      </c>
      <c r="BP970" t="s">
        <v>74</v>
      </c>
      <c r="BQ970" t="s">
        <v>74</v>
      </c>
      <c r="BR970" t="s">
        <v>91</v>
      </c>
      <c r="BS970" t="s">
        <v>12822</v>
      </c>
      <c r="BT970" t="str">
        <f>HYPERLINK("https%3A%2F%2Fwww.webofscience.com%2Fwos%2Fwoscc%2Ffull-record%2FWOS:000173446300066","View Full Record in Web of Science")</f>
        <v>View Full Record in Web of Science</v>
      </c>
    </row>
    <row r="971" spans="1:72" x14ac:dyDescent="0.15">
      <c r="A971" t="s">
        <v>298</v>
      </c>
      <c r="B971" t="s">
        <v>12823</v>
      </c>
      <c r="C971" t="s">
        <v>74</v>
      </c>
      <c r="D971" t="s">
        <v>12604</v>
      </c>
      <c r="E971" t="s">
        <v>74</v>
      </c>
      <c r="F971" t="s">
        <v>12823</v>
      </c>
      <c r="G971" t="s">
        <v>74</v>
      </c>
      <c r="H971" t="s">
        <v>74</v>
      </c>
      <c r="I971" t="s">
        <v>12824</v>
      </c>
      <c r="J971" t="s">
        <v>12606</v>
      </c>
      <c r="K971" t="s">
        <v>12649</v>
      </c>
      <c r="L971" t="s">
        <v>74</v>
      </c>
      <c r="M971" t="s">
        <v>77</v>
      </c>
      <c r="N971" t="s">
        <v>435</v>
      </c>
      <c r="O971" t="s">
        <v>12607</v>
      </c>
      <c r="P971" t="s">
        <v>12608</v>
      </c>
      <c r="Q971" t="s">
        <v>12650</v>
      </c>
      <c r="R971" t="s">
        <v>74</v>
      </c>
      <c r="S971" t="s">
        <v>12610</v>
      </c>
      <c r="T971" t="s">
        <v>74</v>
      </c>
      <c r="U971" t="s">
        <v>12825</v>
      </c>
      <c r="V971" t="s">
        <v>12826</v>
      </c>
      <c r="W971" t="s">
        <v>12827</v>
      </c>
      <c r="X971" t="s">
        <v>12828</v>
      </c>
      <c r="Y971" t="s">
        <v>12829</v>
      </c>
      <c r="Z971" t="s">
        <v>74</v>
      </c>
      <c r="AA971" t="s">
        <v>74</v>
      </c>
      <c r="AB971" t="s">
        <v>74</v>
      </c>
      <c r="AC971" t="s">
        <v>74</v>
      </c>
      <c r="AD971" t="s">
        <v>74</v>
      </c>
      <c r="AE971" t="s">
        <v>74</v>
      </c>
      <c r="AF971" t="s">
        <v>74</v>
      </c>
      <c r="AG971">
        <v>10</v>
      </c>
      <c r="AH971">
        <v>28</v>
      </c>
      <c r="AI971">
        <v>30</v>
      </c>
      <c r="AJ971">
        <v>0</v>
      </c>
      <c r="AK971">
        <v>7</v>
      </c>
      <c r="AL971" t="s">
        <v>12595</v>
      </c>
      <c r="AM971" t="s">
        <v>1226</v>
      </c>
      <c r="AN971" t="s">
        <v>12596</v>
      </c>
      <c r="AO971" t="s">
        <v>12597</v>
      </c>
      <c r="AP971" t="s">
        <v>74</v>
      </c>
      <c r="AQ971" t="s">
        <v>12616</v>
      </c>
      <c r="AR971" t="s">
        <v>12656</v>
      </c>
      <c r="AS971" t="s">
        <v>74</v>
      </c>
      <c r="AT971" t="s">
        <v>74</v>
      </c>
      <c r="AU971">
        <v>2001</v>
      </c>
      <c r="AV971">
        <v>33</v>
      </c>
      <c r="AW971" t="s">
        <v>74</v>
      </c>
      <c r="AX971" t="s">
        <v>74</v>
      </c>
      <c r="AY971" t="s">
        <v>74</v>
      </c>
      <c r="AZ971" t="s">
        <v>74</v>
      </c>
      <c r="BA971" t="s">
        <v>74</v>
      </c>
      <c r="BB971">
        <v>425</v>
      </c>
      <c r="BC971">
        <v>429</v>
      </c>
      <c r="BD971" t="s">
        <v>74</v>
      </c>
      <c r="BE971" t="s">
        <v>12830</v>
      </c>
      <c r="BF971" t="str">
        <f>HYPERLINK("http://dx.doi.org/10.3189/172756401781818725","http://dx.doi.org/10.3189/172756401781818725")</f>
        <v>http://dx.doi.org/10.3189/172756401781818725</v>
      </c>
      <c r="BG971" t="s">
        <v>74</v>
      </c>
      <c r="BH971" t="s">
        <v>74</v>
      </c>
      <c r="BI971">
        <v>5</v>
      </c>
      <c r="BJ971" t="s">
        <v>300</v>
      </c>
      <c r="BK971" t="s">
        <v>453</v>
      </c>
      <c r="BL971" t="s">
        <v>113</v>
      </c>
      <c r="BM971" t="s">
        <v>12618</v>
      </c>
      <c r="BN971" t="s">
        <v>74</v>
      </c>
      <c r="BO971" t="s">
        <v>171</v>
      </c>
      <c r="BP971" t="s">
        <v>74</v>
      </c>
      <c r="BQ971" t="s">
        <v>74</v>
      </c>
      <c r="BR971" t="s">
        <v>91</v>
      </c>
      <c r="BS971" t="s">
        <v>12831</v>
      </c>
      <c r="BT971" t="str">
        <f>HYPERLINK("https%3A%2F%2Fwww.webofscience.com%2Fwos%2Fwoscc%2Ffull-record%2FWOS:000173446300067","View Full Record in Web of Science")</f>
        <v>View Full Record in Web of Science</v>
      </c>
    </row>
    <row r="972" spans="1:72" x14ac:dyDescent="0.15">
      <c r="A972" t="s">
        <v>298</v>
      </c>
      <c r="B972" t="s">
        <v>12832</v>
      </c>
      <c r="C972" t="s">
        <v>74</v>
      </c>
      <c r="D972" t="s">
        <v>12604</v>
      </c>
      <c r="E972" t="s">
        <v>74</v>
      </c>
      <c r="F972" t="s">
        <v>12832</v>
      </c>
      <c r="G972" t="s">
        <v>74</v>
      </c>
      <c r="H972" t="s">
        <v>74</v>
      </c>
      <c r="I972" t="s">
        <v>12833</v>
      </c>
      <c r="J972" t="s">
        <v>12606</v>
      </c>
      <c r="K972" t="s">
        <v>12587</v>
      </c>
      <c r="L972" t="s">
        <v>74</v>
      </c>
      <c r="M972" t="s">
        <v>77</v>
      </c>
      <c r="N972" t="s">
        <v>435</v>
      </c>
      <c r="O972" t="s">
        <v>12607</v>
      </c>
      <c r="P972" t="s">
        <v>12608</v>
      </c>
      <c r="Q972" t="s">
        <v>12609</v>
      </c>
      <c r="R972" t="s">
        <v>74</v>
      </c>
      <c r="S972" t="s">
        <v>12610</v>
      </c>
      <c r="T972" t="s">
        <v>74</v>
      </c>
      <c r="U972" t="s">
        <v>12834</v>
      </c>
      <c r="V972" t="s">
        <v>12835</v>
      </c>
      <c r="W972" t="s">
        <v>12836</v>
      </c>
      <c r="X972" t="s">
        <v>11382</v>
      </c>
      <c r="Y972" t="s">
        <v>12837</v>
      </c>
      <c r="Z972" t="s">
        <v>74</v>
      </c>
      <c r="AA972" t="s">
        <v>74</v>
      </c>
      <c r="AB972" t="s">
        <v>11364</v>
      </c>
      <c r="AC972" t="s">
        <v>74</v>
      </c>
      <c r="AD972" t="s">
        <v>74</v>
      </c>
      <c r="AE972" t="s">
        <v>74</v>
      </c>
      <c r="AF972" t="s">
        <v>74</v>
      </c>
      <c r="AG972">
        <v>38</v>
      </c>
      <c r="AH972">
        <v>95</v>
      </c>
      <c r="AI972">
        <v>107</v>
      </c>
      <c r="AJ972">
        <v>0</v>
      </c>
      <c r="AK972">
        <v>27</v>
      </c>
      <c r="AL972" t="s">
        <v>12595</v>
      </c>
      <c r="AM972" t="s">
        <v>1226</v>
      </c>
      <c r="AN972" t="s">
        <v>12596</v>
      </c>
      <c r="AO972" t="s">
        <v>12597</v>
      </c>
      <c r="AP972" t="s">
        <v>74</v>
      </c>
      <c r="AQ972" t="s">
        <v>12616</v>
      </c>
      <c r="AR972" t="s">
        <v>12599</v>
      </c>
      <c r="AS972" t="s">
        <v>74</v>
      </c>
      <c r="AT972" t="s">
        <v>74</v>
      </c>
      <c r="AU972">
        <v>2001</v>
      </c>
      <c r="AV972">
        <v>33</v>
      </c>
      <c r="AW972" t="s">
        <v>74</v>
      </c>
      <c r="AX972" t="s">
        <v>74</v>
      </c>
      <c r="AY972" t="s">
        <v>74</v>
      </c>
      <c r="AZ972" t="s">
        <v>74</v>
      </c>
      <c r="BA972" t="s">
        <v>74</v>
      </c>
      <c r="BB972">
        <v>493</v>
      </c>
      <c r="BC972">
        <v>500</v>
      </c>
      <c r="BD972" t="s">
        <v>74</v>
      </c>
      <c r="BE972" t="s">
        <v>12838</v>
      </c>
      <c r="BF972" t="str">
        <f>HYPERLINK("http://dx.doi.org/10.3189/172756401781818662","http://dx.doi.org/10.3189/172756401781818662")</f>
        <v>http://dx.doi.org/10.3189/172756401781818662</v>
      </c>
      <c r="BG972" t="s">
        <v>74</v>
      </c>
      <c r="BH972" t="s">
        <v>74</v>
      </c>
      <c r="BI972">
        <v>8</v>
      </c>
      <c r="BJ972" t="s">
        <v>300</v>
      </c>
      <c r="BK972" t="s">
        <v>453</v>
      </c>
      <c r="BL972" t="s">
        <v>113</v>
      </c>
      <c r="BM972" t="s">
        <v>12618</v>
      </c>
      <c r="BN972" t="s">
        <v>74</v>
      </c>
      <c r="BO972" t="s">
        <v>171</v>
      </c>
      <c r="BP972" t="s">
        <v>74</v>
      </c>
      <c r="BQ972" t="s">
        <v>74</v>
      </c>
      <c r="BR972" t="s">
        <v>91</v>
      </c>
      <c r="BS972" t="s">
        <v>12839</v>
      </c>
      <c r="BT972" t="str">
        <f>HYPERLINK("https%3A%2F%2Fwww.webofscience.com%2Fwos%2Fwoscc%2Ffull-record%2FWOS:000173446300075","View Full Record in Web of Science")</f>
        <v>View Full Record in Web of Science</v>
      </c>
    </row>
    <row r="973" spans="1:72" x14ac:dyDescent="0.15">
      <c r="A973" t="s">
        <v>298</v>
      </c>
      <c r="B973" t="s">
        <v>12840</v>
      </c>
      <c r="C973" t="s">
        <v>74</v>
      </c>
      <c r="D973" t="s">
        <v>12604</v>
      </c>
      <c r="E973" t="s">
        <v>74</v>
      </c>
      <c r="F973" t="s">
        <v>12840</v>
      </c>
      <c r="G973" t="s">
        <v>74</v>
      </c>
      <c r="H973" t="s">
        <v>74</v>
      </c>
      <c r="I973" t="s">
        <v>12841</v>
      </c>
      <c r="J973" t="s">
        <v>12606</v>
      </c>
      <c r="K973" t="s">
        <v>12649</v>
      </c>
      <c r="L973" t="s">
        <v>74</v>
      </c>
      <c r="M973" t="s">
        <v>77</v>
      </c>
      <c r="N973" t="s">
        <v>435</v>
      </c>
      <c r="O973" t="s">
        <v>12607</v>
      </c>
      <c r="P973" t="s">
        <v>12608</v>
      </c>
      <c r="Q973" t="s">
        <v>12650</v>
      </c>
      <c r="R973" t="s">
        <v>74</v>
      </c>
      <c r="S973" t="s">
        <v>12610</v>
      </c>
      <c r="T973" t="s">
        <v>74</v>
      </c>
      <c r="U973" t="s">
        <v>12842</v>
      </c>
      <c r="V973" t="s">
        <v>12843</v>
      </c>
      <c r="W973" t="s">
        <v>12844</v>
      </c>
      <c r="X973" t="s">
        <v>12845</v>
      </c>
      <c r="Y973" t="s">
        <v>12846</v>
      </c>
      <c r="Z973" t="s">
        <v>74</v>
      </c>
      <c r="AA973" t="s">
        <v>12847</v>
      </c>
      <c r="AB973" t="s">
        <v>12848</v>
      </c>
      <c r="AC973" t="s">
        <v>74</v>
      </c>
      <c r="AD973" t="s">
        <v>74</v>
      </c>
      <c r="AE973" t="s">
        <v>74</v>
      </c>
      <c r="AF973" t="s">
        <v>74</v>
      </c>
      <c r="AG973">
        <v>51</v>
      </c>
      <c r="AH973">
        <v>0</v>
      </c>
      <c r="AI973">
        <v>1</v>
      </c>
      <c r="AJ973">
        <v>0</v>
      </c>
      <c r="AK973">
        <v>7</v>
      </c>
      <c r="AL973" t="s">
        <v>12595</v>
      </c>
      <c r="AM973" t="s">
        <v>1226</v>
      </c>
      <c r="AN973" t="s">
        <v>12596</v>
      </c>
      <c r="AO973" t="s">
        <v>12597</v>
      </c>
      <c r="AP973" t="s">
        <v>74</v>
      </c>
      <c r="AQ973" t="s">
        <v>12616</v>
      </c>
      <c r="AR973" t="s">
        <v>12656</v>
      </c>
      <c r="AS973" t="s">
        <v>74</v>
      </c>
      <c r="AT973" t="s">
        <v>74</v>
      </c>
      <c r="AU973">
        <v>2001</v>
      </c>
      <c r="AV973">
        <v>33</v>
      </c>
      <c r="AW973" t="s">
        <v>74</v>
      </c>
      <c r="AX973" t="s">
        <v>74</v>
      </c>
      <c r="AY973" t="s">
        <v>74</v>
      </c>
      <c r="AZ973" t="s">
        <v>74</v>
      </c>
      <c r="BA973" t="s">
        <v>74</v>
      </c>
      <c r="BB973">
        <v>501</v>
      </c>
      <c r="BC973">
        <v>506</v>
      </c>
      <c r="BD973" t="s">
        <v>74</v>
      </c>
      <c r="BE973" t="s">
        <v>12849</v>
      </c>
      <c r="BF973" t="str">
        <f>HYPERLINK("http://dx.doi.org/10.3189/172756401781818310","http://dx.doi.org/10.3189/172756401781818310")</f>
        <v>http://dx.doi.org/10.3189/172756401781818310</v>
      </c>
      <c r="BG973" t="s">
        <v>74</v>
      </c>
      <c r="BH973" t="s">
        <v>74</v>
      </c>
      <c r="BI973">
        <v>6</v>
      </c>
      <c r="BJ973" t="s">
        <v>300</v>
      </c>
      <c r="BK973" t="s">
        <v>453</v>
      </c>
      <c r="BL973" t="s">
        <v>113</v>
      </c>
      <c r="BM973" t="s">
        <v>12618</v>
      </c>
      <c r="BN973" t="s">
        <v>74</v>
      </c>
      <c r="BO973" t="s">
        <v>171</v>
      </c>
      <c r="BP973" t="s">
        <v>74</v>
      </c>
      <c r="BQ973" t="s">
        <v>74</v>
      </c>
      <c r="BR973" t="s">
        <v>91</v>
      </c>
      <c r="BS973" t="s">
        <v>12850</v>
      </c>
      <c r="BT973" t="str">
        <f>HYPERLINK("https%3A%2F%2Fwww.webofscience.com%2Fwos%2Fwoscc%2Ffull-record%2FWOS:000173446300076","View Full Record in Web of Science")</f>
        <v>View Full Record in Web of Science</v>
      </c>
    </row>
    <row r="974" spans="1:72" x14ac:dyDescent="0.15">
      <c r="A974" t="s">
        <v>298</v>
      </c>
      <c r="B974" t="s">
        <v>12851</v>
      </c>
      <c r="C974" t="s">
        <v>74</v>
      </c>
      <c r="D974" t="s">
        <v>12604</v>
      </c>
      <c r="E974" t="s">
        <v>74</v>
      </c>
      <c r="F974" t="s">
        <v>12851</v>
      </c>
      <c r="G974" t="s">
        <v>74</v>
      </c>
      <c r="H974" t="s">
        <v>74</v>
      </c>
      <c r="I974" t="s">
        <v>12852</v>
      </c>
      <c r="J974" t="s">
        <v>12606</v>
      </c>
      <c r="K974" t="s">
        <v>12649</v>
      </c>
      <c r="L974" t="s">
        <v>74</v>
      </c>
      <c r="M974" t="s">
        <v>77</v>
      </c>
      <c r="N974" t="s">
        <v>435</v>
      </c>
      <c r="O974" t="s">
        <v>12607</v>
      </c>
      <c r="P974" t="s">
        <v>12608</v>
      </c>
      <c r="Q974" t="s">
        <v>12650</v>
      </c>
      <c r="R974" t="s">
        <v>74</v>
      </c>
      <c r="S974" t="s">
        <v>12610</v>
      </c>
      <c r="T974" t="s">
        <v>74</v>
      </c>
      <c r="U974" t="s">
        <v>12853</v>
      </c>
      <c r="V974" t="s">
        <v>12854</v>
      </c>
      <c r="W974" t="s">
        <v>12855</v>
      </c>
      <c r="X974" t="s">
        <v>12856</v>
      </c>
      <c r="Y974" t="s">
        <v>12857</v>
      </c>
      <c r="Z974" t="s">
        <v>74</v>
      </c>
      <c r="AA974" t="s">
        <v>74</v>
      </c>
      <c r="AB974" t="s">
        <v>74</v>
      </c>
      <c r="AC974" t="s">
        <v>74</v>
      </c>
      <c r="AD974" t="s">
        <v>74</v>
      </c>
      <c r="AE974" t="s">
        <v>74</v>
      </c>
      <c r="AF974" t="s">
        <v>74</v>
      </c>
      <c r="AG974">
        <v>24</v>
      </c>
      <c r="AH974">
        <v>5</v>
      </c>
      <c r="AI974">
        <v>5</v>
      </c>
      <c r="AJ974">
        <v>0</v>
      </c>
      <c r="AK974">
        <v>2</v>
      </c>
      <c r="AL974" t="s">
        <v>12595</v>
      </c>
      <c r="AM974" t="s">
        <v>1226</v>
      </c>
      <c r="AN974" t="s">
        <v>12596</v>
      </c>
      <c r="AO974" t="s">
        <v>12597</v>
      </c>
      <c r="AP974" t="s">
        <v>74</v>
      </c>
      <c r="AQ974" t="s">
        <v>12616</v>
      </c>
      <c r="AR974" t="s">
        <v>12656</v>
      </c>
      <c r="AS974" t="s">
        <v>74</v>
      </c>
      <c r="AT974" t="s">
        <v>74</v>
      </c>
      <c r="AU974">
        <v>2001</v>
      </c>
      <c r="AV974">
        <v>33</v>
      </c>
      <c r="AW974" t="s">
        <v>74</v>
      </c>
      <c r="AX974" t="s">
        <v>74</v>
      </c>
      <c r="AY974" t="s">
        <v>74</v>
      </c>
      <c r="AZ974" t="s">
        <v>74</v>
      </c>
      <c r="BA974" t="s">
        <v>74</v>
      </c>
      <c r="BB974">
        <v>539</v>
      </c>
      <c r="BC974">
        <v>544</v>
      </c>
      <c r="BD974" t="s">
        <v>74</v>
      </c>
      <c r="BE974" t="s">
        <v>12858</v>
      </c>
      <c r="BF974" t="str">
        <f>HYPERLINK("http://dx.doi.org/10.3189/172756401781818644","http://dx.doi.org/10.3189/172756401781818644")</f>
        <v>http://dx.doi.org/10.3189/172756401781818644</v>
      </c>
      <c r="BG974" t="s">
        <v>74</v>
      </c>
      <c r="BH974" t="s">
        <v>74</v>
      </c>
      <c r="BI974">
        <v>6</v>
      </c>
      <c r="BJ974" t="s">
        <v>300</v>
      </c>
      <c r="BK974" t="s">
        <v>453</v>
      </c>
      <c r="BL974" t="s">
        <v>113</v>
      </c>
      <c r="BM974" t="s">
        <v>12618</v>
      </c>
      <c r="BN974" t="s">
        <v>74</v>
      </c>
      <c r="BO974" t="s">
        <v>171</v>
      </c>
      <c r="BP974" t="s">
        <v>74</v>
      </c>
      <c r="BQ974" t="s">
        <v>74</v>
      </c>
      <c r="BR974" t="s">
        <v>91</v>
      </c>
      <c r="BS974" t="s">
        <v>12859</v>
      </c>
      <c r="BT974" t="str">
        <f>HYPERLINK("https%3A%2F%2Fwww.webofscience.com%2Fwos%2Fwoscc%2Ffull-record%2FWOS:000173446300082","View Full Record in Web of Science")</f>
        <v>View Full Record in Web of Science</v>
      </c>
    </row>
    <row r="975" spans="1:72" x14ac:dyDescent="0.15">
      <c r="A975" t="s">
        <v>298</v>
      </c>
      <c r="B975" t="s">
        <v>12860</v>
      </c>
      <c r="C975" t="s">
        <v>74</v>
      </c>
      <c r="D975" t="s">
        <v>12604</v>
      </c>
      <c r="E975" t="s">
        <v>74</v>
      </c>
      <c r="F975" t="s">
        <v>12860</v>
      </c>
      <c r="G975" t="s">
        <v>74</v>
      </c>
      <c r="H975" t="s">
        <v>74</v>
      </c>
      <c r="I975" t="s">
        <v>12861</v>
      </c>
      <c r="J975" t="s">
        <v>12606</v>
      </c>
      <c r="K975" t="s">
        <v>12587</v>
      </c>
      <c r="L975" t="s">
        <v>74</v>
      </c>
      <c r="M975" t="s">
        <v>77</v>
      </c>
      <c r="N975" t="s">
        <v>435</v>
      </c>
      <c r="O975" t="s">
        <v>12607</v>
      </c>
      <c r="P975" t="s">
        <v>12608</v>
      </c>
      <c r="Q975" t="s">
        <v>12609</v>
      </c>
      <c r="R975" t="s">
        <v>74</v>
      </c>
      <c r="S975" t="s">
        <v>12610</v>
      </c>
      <c r="T975" t="s">
        <v>74</v>
      </c>
      <c r="U975" t="s">
        <v>12862</v>
      </c>
      <c r="V975" t="s">
        <v>12863</v>
      </c>
      <c r="W975" t="s">
        <v>12864</v>
      </c>
      <c r="X975" t="s">
        <v>7524</v>
      </c>
      <c r="Y975" t="s">
        <v>12865</v>
      </c>
      <c r="Z975" t="s">
        <v>74</v>
      </c>
      <c r="AA975" t="s">
        <v>12866</v>
      </c>
      <c r="AB975" t="s">
        <v>12867</v>
      </c>
      <c r="AC975" t="s">
        <v>74</v>
      </c>
      <c r="AD975" t="s">
        <v>74</v>
      </c>
      <c r="AE975" t="s">
        <v>74</v>
      </c>
      <c r="AF975" t="s">
        <v>74</v>
      </c>
      <c r="AG975">
        <v>38</v>
      </c>
      <c r="AH975">
        <v>3</v>
      </c>
      <c r="AI975">
        <v>3</v>
      </c>
      <c r="AJ975">
        <v>0</v>
      </c>
      <c r="AK975">
        <v>4</v>
      </c>
      <c r="AL975" t="s">
        <v>12595</v>
      </c>
      <c r="AM975" t="s">
        <v>1226</v>
      </c>
      <c r="AN975" t="s">
        <v>12596</v>
      </c>
      <c r="AO975" t="s">
        <v>12597</v>
      </c>
      <c r="AP975" t="s">
        <v>74</v>
      </c>
      <c r="AQ975" t="s">
        <v>12616</v>
      </c>
      <c r="AR975" t="s">
        <v>12599</v>
      </c>
      <c r="AS975" t="s">
        <v>74</v>
      </c>
      <c r="AT975" t="s">
        <v>74</v>
      </c>
      <c r="AU975">
        <v>2001</v>
      </c>
      <c r="AV975">
        <v>33</v>
      </c>
      <c r="AW975" t="s">
        <v>74</v>
      </c>
      <c r="AX975" t="s">
        <v>74</v>
      </c>
      <c r="AY975" t="s">
        <v>74</v>
      </c>
      <c r="AZ975" t="s">
        <v>74</v>
      </c>
      <c r="BA975" t="s">
        <v>74</v>
      </c>
      <c r="BB975">
        <v>577</v>
      </c>
      <c r="BC975">
        <v>584</v>
      </c>
      <c r="BD975" t="s">
        <v>74</v>
      </c>
      <c r="BE975" t="s">
        <v>12868</v>
      </c>
      <c r="BF975" t="str">
        <f>HYPERLINK("http://dx.doi.org/10.3189/172756401781818545","http://dx.doi.org/10.3189/172756401781818545")</f>
        <v>http://dx.doi.org/10.3189/172756401781818545</v>
      </c>
      <c r="BG975" t="s">
        <v>74</v>
      </c>
      <c r="BH975" t="s">
        <v>74</v>
      </c>
      <c r="BI975">
        <v>8</v>
      </c>
      <c r="BJ975" t="s">
        <v>300</v>
      </c>
      <c r="BK975" t="s">
        <v>453</v>
      </c>
      <c r="BL975" t="s">
        <v>113</v>
      </c>
      <c r="BM975" t="s">
        <v>12618</v>
      </c>
      <c r="BN975" t="s">
        <v>74</v>
      </c>
      <c r="BO975" t="s">
        <v>171</v>
      </c>
      <c r="BP975" t="s">
        <v>74</v>
      </c>
      <c r="BQ975" t="s">
        <v>74</v>
      </c>
      <c r="BR975" t="s">
        <v>91</v>
      </c>
      <c r="BS975" t="s">
        <v>12869</v>
      </c>
      <c r="BT975" t="str">
        <f>HYPERLINK("https%3A%2F%2Fwww.webofscience.com%2Fwos%2Fwoscc%2Ffull-record%2FWOS:000173446300088","View Full Record in Web of Science")</f>
        <v>View Full Record in Web of Science</v>
      </c>
    </row>
    <row r="976" spans="1:72" x14ac:dyDescent="0.15">
      <c r="A976" t="s">
        <v>298</v>
      </c>
      <c r="B976" t="s">
        <v>12870</v>
      </c>
      <c r="C976" t="s">
        <v>74</v>
      </c>
      <c r="D976" t="s">
        <v>12604</v>
      </c>
      <c r="E976" t="s">
        <v>74</v>
      </c>
      <c r="F976" t="s">
        <v>12870</v>
      </c>
      <c r="G976" t="s">
        <v>74</v>
      </c>
      <c r="H976" t="s">
        <v>74</v>
      </c>
      <c r="I976" t="s">
        <v>12871</v>
      </c>
      <c r="J976" t="s">
        <v>12606</v>
      </c>
      <c r="K976" t="s">
        <v>12649</v>
      </c>
      <c r="L976" t="s">
        <v>74</v>
      </c>
      <c r="M976" t="s">
        <v>77</v>
      </c>
      <c r="N976" t="s">
        <v>435</v>
      </c>
      <c r="O976" t="s">
        <v>12607</v>
      </c>
      <c r="P976" t="s">
        <v>12608</v>
      </c>
      <c r="Q976" t="s">
        <v>12650</v>
      </c>
      <c r="R976" t="s">
        <v>74</v>
      </c>
      <c r="S976" t="s">
        <v>12610</v>
      </c>
      <c r="T976" t="s">
        <v>74</v>
      </c>
      <c r="U976" t="s">
        <v>12872</v>
      </c>
      <c r="V976" t="s">
        <v>12873</v>
      </c>
      <c r="W976" t="s">
        <v>12874</v>
      </c>
      <c r="X976" t="s">
        <v>12875</v>
      </c>
      <c r="Y976" t="s">
        <v>12876</v>
      </c>
      <c r="Z976" t="s">
        <v>74</v>
      </c>
      <c r="AA976" t="s">
        <v>74</v>
      </c>
      <c r="AB976" t="s">
        <v>12877</v>
      </c>
      <c r="AC976" t="s">
        <v>12878</v>
      </c>
      <c r="AD976" t="s">
        <v>10463</v>
      </c>
      <c r="AE976" t="s">
        <v>74</v>
      </c>
      <c r="AF976" t="s">
        <v>74</v>
      </c>
      <c r="AG976">
        <v>19</v>
      </c>
      <c r="AH976">
        <v>8</v>
      </c>
      <c r="AI976">
        <v>9</v>
      </c>
      <c r="AJ976">
        <v>0</v>
      </c>
      <c r="AK976">
        <v>2</v>
      </c>
      <c r="AL976" t="s">
        <v>12595</v>
      </c>
      <c r="AM976" t="s">
        <v>1226</v>
      </c>
      <c r="AN976" t="s">
        <v>12596</v>
      </c>
      <c r="AO976" t="s">
        <v>12597</v>
      </c>
      <c r="AP976" t="s">
        <v>74</v>
      </c>
      <c r="AQ976" t="s">
        <v>12616</v>
      </c>
      <c r="AR976" t="s">
        <v>12656</v>
      </c>
      <c r="AS976" t="s">
        <v>74</v>
      </c>
      <c r="AT976" t="s">
        <v>74</v>
      </c>
      <c r="AU976">
        <v>2001</v>
      </c>
      <c r="AV976">
        <v>33</v>
      </c>
      <c r="AW976" t="s">
        <v>74</v>
      </c>
      <c r="AX976" t="s">
        <v>74</v>
      </c>
      <c r="AY976" t="s">
        <v>74</v>
      </c>
      <c r="AZ976" t="s">
        <v>74</v>
      </c>
      <c r="BA976" t="s">
        <v>74</v>
      </c>
      <c r="BB976">
        <v>585</v>
      </c>
      <c r="BC976">
        <v>591</v>
      </c>
      <c r="BD976" t="s">
        <v>74</v>
      </c>
      <c r="BE976" t="s">
        <v>12879</v>
      </c>
      <c r="BF976" t="str">
        <f>HYPERLINK("http://dx.doi.org/10.3189/172756401781818095","http://dx.doi.org/10.3189/172756401781818095")</f>
        <v>http://dx.doi.org/10.3189/172756401781818095</v>
      </c>
      <c r="BG976" t="s">
        <v>74</v>
      </c>
      <c r="BH976" t="s">
        <v>74</v>
      </c>
      <c r="BI976">
        <v>7</v>
      </c>
      <c r="BJ976" t="s">
        <v>300</v>
      </c>
      <c r="BK976" t="s">
        <v>453</v>
      </c>
      <c r="BL976" t="s">
        <v>113</v>
      </c>
      <c r="BM976" t="s">
        <v>12618</v>
      </c>
      <c r="BN976" t="s">
        <v>74</v>
      </c>
      <c r="BO976" t="s">
        <v>171</v>
      </c>
      <c r="BP976" t="s">
        <v>74</v>
      </c>
      <c r="BQ976" t="s">
        <v>74</v>
      </c>
      <c r="BR976" t="s">
        <v>91</v>
      </c>
      <c r="BS976" t="s">
        <v>12880</v>
      </c>
      <c r="BT976" t="str">
        <f>HYPERLINK("https%3A%2F%2Fwww.webofscience.com%2Fwos%2Fwoscc%2Ffull-record%2FWOS:000173446300089","View Full Record in Web of Science")</f>
        <v>View Full Record in Web of Science</v>
      </c>
    </row>
    <row r="977" spans="1:72" x14ac:dyDescent="0.15">
      <c r="A977" t="s">
        <v>72</v>
      </c>
      <c r="B977" t="s">
        <v>12881</v>
      </c>
      <c r="C977" t="s">
        <v>74</v>
      </c>
      <c r="D977" t="s">
        <v>74</v>
      </c>
      <c r="E977" t="s">
        <v>74</v>
      </c>
      <c r="F977" t="s">
        <v>12881</v>
      </c>
      <c r="G977" t="s">
        <v>74</v>
      </c>
      <c r="H977" t="s">
        <v>74</v>
      </c>
      <c r="I977" t="s">
        <v>12882</v>
      </c>
      <c r="J977" t="s">
        <v>12883</v>
      </c>
      <c r="K977" t="s">
        <v>74</v>
      </c>
      <c r="L977" t="s">
        <v>74</v>
      </c>
      <c r="M977" t="s">
        <v>77</v>
      </c>
      <c r="N977" t="s">
        <v>96</v>
      </c>
      <c r="O977" t="s">
        <v>74</v>
      </c>
      <c r="P977" t="s">
        <v>74</v>
      </c>
      <c r="Q977" t="s">
        <v>74</v>
      </c>
      <c r="R977" t="s">
        <v>74</v>
      </c>
      <c r="S977" t="s">
        <v>74</v>
      </c>
      <c r="T977" t="s">
        <v>12884</v>
      </c>
      <c r="U977" t="s">
        <v>12885</v>
      </c>
      <c r="V977" t="s">
        <v>12886</v>
      </c>
      <c r="W977" t="s">
        <v>12887</v>
      </c>
      <c r="X977" t="s">
        <v>6284</v>
      </c>
      <c r="Y977" t="s">
        <v>12888</v>
      </c>
      <c r="Z977" t="s">
        <v>12889</v>
      </c>
      <c r="AA977" t="s">
        <v>12890</v>
      </c>
      <c r="AB977" t="s">
        <v>12891</v>
      </c>
      <c r="AC977" t="s">
        <v>74</v>
      </c>
      <c r="AD977" t="s">
        <v>74</v>
      </c>
      <c r="AE977" t="s">
        <v>74</v>
      </c>
      <c r="AF977" t="s">
        <v>74</v>
      </c>
      <c r="AG977">
        <v>91</v>
      </c>
      <c r="AH977">
        <v>74</v>
      </c>
      <c r="AI977">
        <v>86</v>
      </c>
      <c r="AJ977">
        <v>2</v>
      </c>
      <c r="AK977">
        <v>47</v>
      </c>
      <c r="AL977" t="s">
        <v>12892</v>
      </c>
      <c r="AM977" t="s">
        <v>12893</v>
      </c>
      <c r="AN977" t="s">
        <v>12894</v>
      </c>
      <c r="AO977" t="s">
        <v>12895</v>
      </c>
      <c r="AP977" t="s">
        <v>74</v>
      </c>
      <c r="AQ977" t="s">
        <v>74</v>
      </c>
      <c r="AR977" t="s">
        <v>12896</v>
      </c>
      <c r="AS977" t="s">
        <v>12897</v>
      </c>
      <c r="AT977" t="s">
        <v>74</v>
      </c>
      <c r="AU977">
        <v>2001</v>
      </c>
      <c r="AV977">
        <v>29</v>
      </c>
      <c r="AW977" t="s">
        <v>74</v>
      </c>
      <c r="AX977" t="s">
        <v>74</v>
      </c>
      <c r="AY977" t="s">
        <v>74</v>
      </c>
      <c r="AZ977" t="s">
        <v>74</v>
      </c>
      <c r="BA977" t="s">
        <v>74</v>
      </c>
      <c r="BB977">
        <v>17</v>
      </c>
      <c r="BC977">
        <v>45</v>
      </c>
      <c r="BD977" t="s">
        <v>74</v>
      </c>
      <c r="BE977" t="s">
        <v>12898</v>
      </c>
      <c r="BF977" t="str">
        <f>HYPERLINK("http://dx.doi.org/10.1146/annurev.earth.29.1.17","http://dx.doi.org/10.1146/annurev.earth.29.1.17")</f>
        <v>http://dx.doi.org/10.1146/annurev.earth.29.1.17</v>
      </c>
      <c r="BG977" t="s">
        <v>74</v>
      </c>
      <c r="BH977" t="s">
        <v>74</v>
      </c>
      <c r="BI977">
        <v>29</v>
      </c>
      <c r="BJ977" t="s">
        <v>12899</v>
      </c>
      <c r="BK977" t="s">
        <v>88</v>
      </c>
      <c r="BL977" t="s">
        <v>12900</v>
      </c>
      <c r="BM977" t="s">
        <v>12901</v>
      </c>
      <c r="BN977" t="s">
        <v>74</v>
      </c>
      <c r="BO977" t="s">
        <v>1685</v>
      </c>
      <c r="BP977" t="s">
        <v>74</v>
      </c>
      <c r="BQ977" t="s">
        <v>74</v>
      </c>
      <c r="BR977" t="s">
        <v>91</v>
      </c>
      <c r="BS977" t="s">
        <v>12902</v>
      </c>
      <c r="BT977" t="str">
        <f>HYPERLINK("https%3A%2F%2Fwww.webofscience.com%2Fwos%2Fwoscc%2Ffull-record%2FWOS:000168810800002","View Full Record in Web of Science")</f>
        <v>View Full Record in Web of Science</v>
      </c>
    </row>
    <row r="978" spans="1:72" x14ac:dyDescent="0.15">
      <c r="A978" t="s">
        <v>72</v>
      </c>
      <c r="B978" t="s">
        <v>12903</v>
      </c>
      <c r="C978" t="s">
        <v>74</v>
      </c>
      <c r="D978" t="s">
        <v>74</v>
      </c>
      <c r="E978" t="s">
        <v>74</v>
      </c>
      <c r="F978" t="s">
        <v>12903</v>
      </c>
      <c r="G978" t="s">
        <v>74</v>
      </c>
      <c r="H978" t="s">
        <v>74</v>
      </c>
      <c r="I978" t="s">
        <v>12904</v>
      </c>
      <c r="J978" t="s">
        <v>12905</v>
      </c>
      <c r="K978" t="s">
        <v>74</v>
      </c>
      <c r="L978" t="s">
        <v>74</v>
      </c>
      <c r="M978" t="s">
        <v>77</v>
      </c>
      <c r="N978" t="s">
        <v>96</v>
      </c>
      <c r="O978" t="s">
        <v>74</v>
      </c>
      <c r="P978" t="s">
        <v>74</v>
      </c>
      <c r="Q978" t="s">
        <v>74</v>
      </c>
      <c r="R978" t="s">
        <v>74</v>
      </c>
      <c r="S978" t="s">
        <v>74</v>
      </c>
      <c r="T978" t="s">
        <v>12906</v>
      </c>
      <c r="U978" t="s">
        <v>12907</v>
      </c>
      <c r="V978" t="s">
        <v>12908</v>
      </c>
      <c r="W978" t="s">
        <v>12909</v>
      </c>
      <c r="X978" t="s">
        <v>12910</v>
      </c>
      <c r="Y978" t="s">
        <v>12911</v>
      </c>
      <c r="Z978" t="s">
        <v>12912</v>
      </c>
      <c r="AA978" t="s">
        <v>12913</v>
      </c>
      <c r="AB978" t="s">
        <v>74</v>
      </c>
      <c r="AC978" t="s">
        <v>74</v>
      </c>
      <c r="AD978" t="s">
        <v>74</v>
      </c>
      <c r="AE978" t="s">
        <v>74</v>
      </c>
      <c r="AF978" t="s">
        <v>74</v>
      </c>
      <c r="AG978">
        <v>145</v>
      </c>
      <c r="AH978">
        <v>384</v>
      </c>
      <c r="AI978">
        <v>433</v>
      </c>
      <c r="AJ978">
        <v>4</v>
      </c>
      <c r="AK978">
        <v>193</v>
      </c>
      <c r="AL978" t="s">
        <v>12892</v>
      </c>
      <c r="AM978" t="s">
        <v>12893</v>
      </c>
      <c r="AN978" t="s">
        <v>12894</v>
      </c>
      <c r="AO978" t="s">
        <v>12914</v>
      </c>
      <c r="AP978" t="s">
        <v>74</v>
      </c>
      <c r="AQ978" t="s">
        <v>74</v>
      </c>
      <c r="AR978" t="s">
        <v>12915</v>
      </c>
      <c r="AS978" t="s">
        <v>12916</v>
      </c>
      <c r="AT978" t="s">
        <v>74</v>
      </c>
      <c r="AU978">
        <v>2001</v>
      </c>
      <c r="AV978">
        <v>63</v>
      </c>
      <c r="AW978" t="s">
        <v>74</v>
      </c>
      <c r="AX978" t="s">
        <v>74</v>
      </c>
      <c r="AY978" t="s">
        <v>74</v>
      </c>
      <c r="AZ978" t="s">
        <v>74</v>
      </c>
      <c r="BA978" t="s">
        <v>74</v>
      </c>
      <c r="BB978">
        <v>359</v>
      </c>
      <c r="BC978">
        <v>390</v>
      </c>
      <c r="BD978" t="s">
        <v>74</v>
      </c>
      <c r="BE978" t="s">
        <v>12917</v>
      </c>
      <c r="BF978" t="str">
        <f>HYPERLINK("http://dx.doi.org/10.1146/annurev.physiol.63.1.359","http://dx.doi.org/10.1146/annurev.physiol.63.1.359")</f>
        <v>http://dx.doi.org/10.1146/annurev.physiol.63.1.359</v>
      </c>
      <c r="BG978" t="s">
        <v>74</v>
      </c>
      <c r="BH978" t="s">
        <v>74</v>
      </c>
      <c r="BI978">
        <v>32</v>
      </c>
      <c r="BJ978" t="s">
        <v>9087</v>
      </c>
      <c r="BK978" t="s">
        <v>88</v>
      </c>
      <c r="BL978" t="s">
        <v>9087</v>
      </c>
      <c r="BM978" t="s">
        <v>12918</v>
      </c>
      <c r="BN978">
        <v>11181960</v>
      </c>
      <c r="BO978" t="s">
        <v>74</v>
      </c>
      <c r="BP978" t="s">
        <v>74</v>
      </c>
      <c r="BQ978" t="s">
        <v>74</v>
      </c>
      <c r="BR978" t="s">
        <v>91</v>
      </c>
      <c r="BS978" t="s">
        <v>12919</v>
      </c>
      <c r="BT978" t="str">
        <f>HYPERLINK("https%3A%2F%2Fwww.webofscience.com%2Fwos%2Fwoscc%2Ffull-record%2FWOS:000168071900016","View Full Record in Web of Science")</f>
        <v>View Full Record in Web of Science</v>
      </c>
    </row>
    <row r="979" spans="1:72" x14ac:dyDescent="0.15">
      <c r="A979" t="s">
        <v>72</v>
      </c>
      <c r="B979" t="s">
        <v>12920</v>
      </c>
      <c r="C979" t="s">
        <v>74</v>
      </c>
      <c r="D979" t="s">
        <v>74</v>
      </c>
      <c r="E979" t="s">
        <v>74</v>
      </c>
      <c r="F979" t="s">
        <v>12920</v>
      </c>
      <c r="G979" t="s">
        <v>74</v>
      </c>
      <c r="H979" t="s">
        <v>74</v>
      </c>
      <c r="I979" t="s">
        <v>12921</v>
      </c>
      <c r="J979" t="s">
        <v>12922</v>
      </c>
      <c r="K979" t="s">
        <v>74</v>
      </c>
      <c r="L979" t="s">
        <v>74</v>
      </c>
      <c r="M979" t="s">
        <v>77</v>
      </c>
      <c r="N979" t="s">
        <v>120</v>
      </c>
      <c r="O979" t="s">
        <v>74</v>
      </c>
      <c r="P979" t="s">
        <v>74</v>
      </c>
      <c r="Q979" t="s">
        <v>74</v>
      </c>
      <c r="R979" t="s">
        <v>74</v>
      </c>
      <c r="S979" t="s">
        <v>74</v>
      </c>
      <c r="T979" t="s">
        <v>74</v>
      </c>
      <c r="U979" t="s">
        <v>74</v>
      </c>
      <c r="V979" t="s">
        <v>12923</v>
      </c>
      <c r="W979" t="s">
        <v>12924</v>
      </c>
      <c r="X979" t="s">
        <v>12925</v>
      </c>
      <c r="Y979" t="s">
        <v>12926</v>
      </c>
      <c r="Z979" t="s">
        <v>74</v>
      </c>
      <c r="AA979" t="s">
        <v>74</v>
      </c>
      <c r="AB979" t="s">
        <v>74</v>
      </c>
      <c r="AC979" t="s">
        <v>74</v>
      </c>
      <c r="AD979" t="s">
        <v>74</v>
      </c>
      <c r="AE979" t="s">
        <v>74</v>
      </c>
      <c r="AF979" t="s">
        <v>74</v>
      </c>
      <c r="AG979">
        <v>16</v>
      </c>
      <c r="AH979">
        <v>3</v>
      </c>
      <c r="AI979">
        <v>3</v>
      </c>
      <c r="AJ979">
        <v>0</v>
      </c>
      <c r="AK979">
        <v>1</v>
      </c>
      <c r="AL979" t="s">
        <v>2223</v>
      </c>
      <c r="AM979" t="s">
        <v>2224</v>
      </c>
      <c r="AN979" t="s">
        <v>2225</v>
      </c>
      <c r="AO979" t="s">
        <v>12927</v>
      </c>
      <c r="AP979" t="s">
        <v>74</v>
      </c>
      <c r="AQ979" t="s">
        <v>74</v>
      </c>
      <c r="AR979" t="s">
        <v>12928</v>
      </c>
      <c r="AS979" t="s">
        <v>12929</v>
      </c>
      <c r="AT979" t="s">
        <v>74</v>
      </c>
      <c r="AU979">
        <v>2001</v>
      </c>
      <c r="AV979">
        <v>276</v>
      </c>
      <c r="AW979">
        <v>1</v>
      </c>
      <c r="AX979" t="s">
        <v>74</v>
      </c>
      <c r="AY979" t="s">
        <v>74</v>
      </c>
      <c r="AZ979" t="s">
        <v>74</v>
      </c>
      <c r="BA979" t="s">
        <v>74</v>
      </c>
      <c r="BB979">
        <v>81</v>
      </c>
      <c r="BC979">
        <v>88</v>
      </c>
      <c r="BD979" t="s">
        <v>74</v>
      </c>
      <c r="BE979" t="s">
        <v>12930</v>
      </c>
      <c r="BF979" t="str">
        <f>HYPERLINK("http://dx.doi.org/10.1023/A:1011624332649","http://dx.doi.org/10.1023/A:1011624332649")</f>
        <v>http://dx.doi.org/10.1023/A:1011624332649</v>
      </c>
      <c r="BG979" t="s">
        <v>74</v>
      </c>
      <c r="BH979" t="s">
        <v>74</v>
      </c>
      <c r="BI979">
        <v>8</v>
      </c>
      <c r="BJ979" t="s">
        <v>1139</v>
      </c>
      <c r="BK979" t="s">
        <v>88</v>
      </c>
      <c r="BL979" t="s">
        <v>1139</v>
      </c>
      <c r="BM979" t="s">
        <v>12931</v>
      </c>
      <c r="BN979" t="s">
        <v>74</v>
      </c>
      <c r="BO979" t="s">
        <v>74</v>
      </c>
      <c r="BP979" t="s">
        <v>74</v>
      </c>
      <c r="BQ979" t="s">
        <v>74</v>
      </c>
      <c r="BR979" t="s">
        <v>91</v>
      </c>
      <c r="BS979" t="s">
        <v>12932</v>
      </c>
      <c r="BT979" t="str">
        <f>HYPERLINK("https%3A%2F%2Fwww.webofscience.com%2Fwos%2Fwoscc%2Ffull-record%2FWOS:000170725200009","View Full Record in Web of Science")</f>
        <v>View Full Record in Web of Science</v>
      </c>
    </row>
    <row r="980" spans="1:72" x14ac:dyDescent="0.15">
      <c r="A980" t="s">
        <v>72</v>
      </c>
      <c r="B980" t="s">
        <v>12933</v>
      </c>
      <c r="C980" t="s">
        <v>74</v>
      </c>
      <c r="D980" t="s">
        <v>74</v>
      </c>
      <c r="E980" t="s">
        <v>74</v>
      </c>
      <c r="F980" t="s">
        <v>12933</v>
      </c>
      <c r="G980" t="s">
        <v>74</v>
      </c>
      <c r="H980" t="s">
        <v>74</v>
      </c>
      <c r="I980" t="s">
        <v>12934</v>
      </c>
      <c r="J980" t="s">
        <v>953</v>
      </c>
      <c r="K980" t="s">
        <v>74</v>
      </c>
      <c r="L980" t="s">
        <v>74</v>
      </c>
      <c r="M980" t="s">
        <v>77</v>
      </c>
      <c r="N980" t="s">
        <v>120</v>
      </c>
      <c r="O980" t="s">
        <v>74</v>
      </c>
      <c r="P980" t="s">
        <v>74</v>
      </c>
      <c r="Q980" t="s">
        <v>74</v>
      </c>
      <c r="R980" t="s">
        <v>74</v>
      </c>
      <c r="S980" t="s">
        <v>74</v>
      </c>
      <c r="T980" t="s">
        <v>12935</v>
      </c>
      <c r="U980" t="s">
        <v>12936</v>
      </c>
      <c r="V980" t="s">
        <v>12937</v>
      </c>
      <c r="W980" t="s">
        <v>12938</v>
      </c>
      <c r="X980" t="s">
        <v>12939</v>
      </c>
      <c r="Y980" t="s">
        <v>12940</v>
      </c>
      <c r="Z980" t="s">
        <v>12941</v>
      </c>
      <c r="AA980" t="s">
        <v>9569</v>
      </c>
      <c r="AB980" t="s">
        <v>9570</v>
      </c>
      <c r="AC980" t="s">
        <v>74</v>
      </c>
      <c r="AD980" t="s">
        <v>74</v>
      </c>
      <c r="AE980" t="s">
        <v>74</v>
      </c>
      <c r="AF980" t="s">
        <v>74</v>
      </c>
      <c r="AG980">
        <v>46</v>
      </c>
      <c r="AH980">
        <v>70</v>
      </c>
      <c r="AI980">
        <v>79</v>
      </c>
      <c r="AJ980">
        <v>1</v>
      </c>
      <c r="AK980">
        <v>16</v>
      </c>
      <c r="AL980" t="s">
        <v>79</v>
      </c>
      <c r="AM980" t="s">
        <v>80</v>
      </c>
      <c r="AN980" t="s">
        <v>81</v>
      </c>
      <c r="AO980" t="s">
        <v>961</v>
      </c>
      <c r="AP980" t="s">
        <v>12942</v>
      </c>
      <c r="AQ980" t="s">
        <v>74</v>
      </c>
      <c r="AR980" t="s">
        <v>962</v>
      </c>
      <c r="AS980" t="s">
        <v>963</v>
      </c>
      <c r="AT980" t="s">
        <v>74</v>
      </c>
      <c r="AU980">
        <v>2001</v>
      </c>
      <c r="AV980">
        <v>35</v>
      </c>
      <c r="AW980">
        <v>10</v>
      </c>
      <c r="AX980" t="s">
        <v>74</v>
      </c>
      <c r="AY980" t="s">
        <v>74</v>
      </c>
      <c r="AZ980" t="s">
        <v>74</v>
      </c>
      <c r="BA980" t="s">
        <v>74</v>
      </c>
      <c r="BB980">
        <v>1891</v>
      </c>
      <c r="BC980">
        <v>1902</v>
      </c>
      <c r="BD980" t="s">
        <v>74</v>
      </c>
      <c r="BE980" t="s">
        <v>12943</v>
      </c>
      <c r="BF980" t="str">
        <f>HYPERLINK("http://dx.doi.org/10.1016/S1352-2310(00)00409-X","http://dx.doi.org/10.1016/S1352-2310(00)00409-X")</f>
        <v>http://dx.doi.org/10.1016/S1352-2310(00)00409-X</v>
      </c>
      <c r="BG980" t="s">
        <v>74</v>
      </c>
      <c r="BH980" t="s">
        <v>74</v>
      </c>
      <c r="BI980">
        <v>12</v>
      </c>
      <c r="BJ980" t="s">
        <v>965</v>
      </c>
      <c r="BK980" t="s">
        <v>88</v>
      </c>
      <c r="BL980" t="s">
        <v>966</v>
      </c>
      <c r="BM980" t="s">
        <v>12944</v>
      </c>
      <c r="BN980" t="s">
        <v>74</v>
      </c>
      <c r="BO980" t="s">
        <v>74</v>
      </c>
      <c r="BP980" t="s">
        <v>74</v>
      </c>
      <c r="BQ980" t="s">
        <v>74</v>
      </c>
      <c r="BR980" t="s">
        <v>91</v>
      </c>
      <c r="BS980" t="s">
        <v>12945</v>
      </c>
      <c r="BT980" t="str">
        <f>HYPERLINK("https%3A%2F%2Fwww.webofscience.com%2Fwos%2Fwoscc%2Ffull-record%2FWOS:000167745600018","View Full Record in Web of Science")</f>
        <v>View Full Record in Web of Science</v>
      </c>
    </row>
    <row r="981" spans="1:72" x14ac:dyDescent="0.15">
      <c r="A981" t="s">
        <v>72</v>
      </c>
      <c r="B981" t="s">
        <v>12946</v>
      </c>
      <c r="C981" t="s">
        <v>74</v>
      </c>
      <c r="D981" t="s">
        <v>74</v>
      </c>
      <c r="E981" t="s">
        <v>74</v>
      </c>
      <c r="F981" t="s">
        <v>12946</v>
      </c>
      <c r="G981" t="s">
        <v>74</v>
      </c>
      <c r="H981" t="s">
        <v>74</v>
      </c>
      <c r="I981" t="s">
        <v>12947</v>
      </c>
      <c r="J981" t="s">
        <v>12948</v>
      </c>
      <c r="K981" t="s">
        <v>74</v>
      </c>
      <c r="L981" t="s">
        <v>74</v>
      </c>
      <c r="M981" t="s">
        <v>77</v>
      </c>
      <c r="N981" t="s">
        <v>435</v>
      </c>
      <c r="O981" t="s">
        <v>12949</v>
      </c>
      <c r="P981" t="s">
        <v>12950</v>
      </c>
      <c r="Q981" t="s">
        <v>12951</v>
      </c>
      <c r="R981" t="s">
        <v>74</v>
      </c>
      <c r="S981" t="s">
        <v>74</v>
      </c>
      <c r="T981" t="s">
        <v>74</v>
      </c>
      <c r="U981" t="s">
        <v>74</v>
      </c>
      <c r="V981" t="s">
        <v>12952</v>
      </c>
      <c r="W981" t="s">
        <v>12953</v>
      </c>
      <c r="X981" t="s">
        <v>4830</v>
      </c>
      <c r="Y981" t="s">
        <v>12954</v>
      </c>
      <c r="Z981" t="s">
        <v>74</v>
      </c>
      <c r="AA981" t="s">
        <v>12955</v>
      </c>
      <c r="AB981" t="s">
        <v>12956</v>
      </c>
      <c r="AC981" t="s">
        <v>74</v>
      </c>
      <c r="AD981" t="s">
        <v>74</v>
      </c>
      <c r="AE981" t="s">
        <v>74</v>
      </c>
      <c r="AF981" t="s">
        <v>74</v>
      </c>
      <c r="AG981">
        <v>0</v>
      </c>
      <c r="AH981">
        <v>1</v>
      </c>
      <c r="AI981">
        <v>1</v>
      </c>
      <c r="AJ981">
        <v>0</v>
      </c>
      <c r="AK981">
        <v>1</v>
      </c>
      <c r="AL981" t="s">
        <v>4243</v>
      </c>
      <c r="AM981" t="s">
        <v>4244</v>
      </c>
      <c r="AN981" t="s">
        <v>4245</v>
      </c>
      <c r="AO981" t="s">
        <v>12957</v>
      </c>
      <c r="AP981" t="s">
        <v>74</v>
      </c>
      <c r="AQ981" t="s">
        <v>74</v>
      </c>
      <c r="AR981" t="s">
        <v>12958</v>
      </c>
      <c r="AS981" t="s">
        <v>12959</v>
      </c>
      <c r="AT981" t="s">
        <v>74</v>
      </c>
      <c r="AU981">
        <v>2001</v>
      </c>
      <c r="AV981">
        <v>30</v>
      </c>
      <c r="AW981">
        <v>2</v>
      </c>
      <c r="AX981" t="s">
        <v>74</v>
      </c>
      <c r="AY981" t="s">
        <v>74</v>
      </c>
      <c r="AZ981" t="s">
        <v>74</v>
      </c>
      <c r="BA981" t="s">
        <v>74</v>
      </c>
      <c r="BB981">
        <v>81</v>
      </c>
      <c r="BC981">
        <v>84</v>
      </c>
      <c r="BD981" t="s">
        <v>74</v>
      </c>
      <c r="BE981" t="s">
        <v>12960</v>
      </c>
      <c r="BF981" t="str">
        <f>HYPERLINK("http://dx.doi.org/10.1071/AP01004","http://dx.doi.org/10.1071/AP01004")</f>
        <v>http://dx.doi.org/10.1071/AP01004</v>
      </c>
      <c r="BG981" t="s">
        <v>74</v>
      </c>
      <c r="BH981" t="s">
        <v>74</v>
      </c>
      <c r="BI981">
        <v>4</v>
      </c>
      <c r="BJ981" t="s">
        <v>357</v>
      </c>
      <c r="BK981" t="s">
        <v>453</v>
      </c>
      <c r="BL981" t="s">
        <v>357</v>
      </c>
      <c r="BM981" t="s">
        <v>12961</v>
      </c>
      <c r="BN981" t="s">
        <v>74</v>
      </c>
      <c r="BO981" t="s">
        <v>74</v>
      </c>
      <c r="BP981" t="s">
        <v>74</v>
      </c>
      <c r="BQ981" t="s">
        <v>74</v>
      </c>
      <c r="BR981" t="s">
        <v>91</v>
      </c>
      <c r="BS981" t="s">
        <v>12962</v>
      </c>
      <c r="BT981" t="str">
        <f>HYPERLINK("https%3A%2F%2Fwww.webofscience.com%2Fwos%2Fwoscc%2Ffull-record%2FWOS:000169407200001","View Full Record in Web of Science")</f>
        <v>View Full Record in Web of Science</v>
      </c>
    </row>
    <row r="982" spans="1:72" x14ac:dyDescent="0.15">
      <c r="A982" t="s">
        <v>72</v>
      </c>
      <c r="B982" t="s">
        <v>12963</v>
      </c>
      <c r="C982" t="s">
        <v>74</v>
      </c>
      <c r="D982" t="s">
        <v>74</v>
      </c>
      <c r="E982" t="s">
        <v>74</v>
      </c>
      <c r="F982" t="s">
        <v>12963</v>
      </c>
      <c r="G982" t="s">
        <v>74</v>
      </c>
      <c r="H982" t="s">
        <v>74</v>
      </c>
      <c r="I982" t="s">
        <v>12964</v>
      </c>
      <c r="J982" t="s">
        <v>12965</v>
      </c>
      <c r="K982" t="s">
        <v>74</v>
      </c>
      <c r="L982" t="s">
        <v>74</v>
      </c>
      <c r="M982" t="s">
        <v>77</v>
      </c>
      <c r="N982" t="s">
        <v>120</v>
      </c>
      <c r="O982" t="s">
        <v>74</v>
      </c>
      <c r="P982" t="s">
        <v>74</v>
      </c>
      <c r="Q982" t="s">
        <v>74</v>
      </c>
      <c r="R982" t="s">
        <v>74</v>
      </c>
      <c r="S982" t="s">
        <v>74</v>
      </c>
      <c r="T982" t="s">
        <v>74</v>
      </c>
      <c r="U982" t="s">
        <v>12966</v>
      </c>
      <c r="V982" t="s">
        <v>12967</v>
      </c>
      <c r="W982" t="s">
        <v>12968</v>
      </c>
      <c r="X982" t="s">
        <v>4240</v>
      </c>
      <c r="Y982" t="s">
        <v>12969</v>
      </c>
      <c r="Z982" t="s">
        <v>74</v>
      </c>
      <c r="AA982" t="s">
        <v>74</v>
      </c>
      <c r="AB982" t="s">
        <v>74</v>
      </c>
      <c r="AC982" t="s">
        <v>74</v>
      </c>
      <c r="AD982" t="s">
        <v>74</v>
      </c>
      <c r="AE982" t="s">
        <v>74</v>
      </c>
      <c r="AF982" t="s">
        <v>74</v>
      </c>
      <c r="AG982">
        <v>50</v>
      </c>
      <c r="AH982">
        <v>12</v>
      </c>
      <c r="AI982">
        <v>15</v>
      </c>
      <c r="AJ982">
        <v>0</v>
      </c>
      <c r="AK982">
        <v>2</v>
      </c>
      <c r="AL982" t="s">
        <v>4243</v>
      </c>
      <c r="AM982" t="s">
        <v>4244</v>
      </c>
      <c r="AN982" t="s">
        <v>4245</v>
      </c>
      <c r="AO982" t="s">
        <v>12970</v>
      </c>
      <c r="AP982" t="s">
        <v>74</v>
      </c>
      <c r="AQ982" t="s">
        <v>74</v>
      </c>
      <c r="AR982" t="s">
        <v>12971</v>
      </c>
      <c r="AS982" t="s">
        <v>12972</v>
      </c>
      <c r="AT982" t="s">
        <v>74</v>
      </c>
      <c r="AU982">
        <v>2001</v>
      </c>
      <c r="AV982">
        <v>49</v>
      </c>
      <c r="AW982">
        <v>2</v>
      </c>
      <c r="AX982" t="s">
        <v>74</v>
      </c>
      <c r="AY982" t="s">
        <v>74</v>
      </c>
      <c r="AZ982" t="s">
        <v>74</v>
      </c>
      <c r="BA982" t="s">
        <v>74</v>
      </c>
      <c r="BB982">
        <v>221</v>
      </c>
      <c r="BC982">
        <v>234</v>
      </c>
      <c r="BD982" t="s">
        <v>74</v>
      </c>
      <c r="BE982" t="s">
        <v>12973</v>
      </c>
      <c r="BF982" t="str">
        <f>HYPERLINK("http://dx.doi.org/10.1071/BT00057","http://dx.doi.org/10.1071/BT00057")</f>
        <v>http://dx.doi.org/10.1071/BT00057</v>
      </c>
      <c r="BG982" t="s">
        <v>74</v>
      </c>
      <c r="BH982" t="s">
        <v>74</v>
      </c>
      <c r="BI982">
        <v>14</v>
      </c>
      <c r="BJ982" t="s">
        <v>357</v>
      </c>
      <c r="BK982" t="s">
        <v>88</v>
      </c>
      <c r="BL982" t="s">
        <v>357</v>
      </c>
      <c r="BM982" t="s">
        <v>12974</v>
      </c>
      <c r="BN982" t="s">
        <v>74</v>
      </c>
      <c r="BO982" t="s">
        <v>74</v>
      </c>
      <c r="BP982" t="s">
        <v>74</v>
      </c>
      <c r="BQ982" t="s">
        <v>74</v>
      </c>
      <c r="BR982" t="s">
        <v>91</v>
      </c>
      <c r="BS982" t="s">
        <v>12975</v>
      </c>
      <c r="BT982" t="str">
        <f>HYPERLINK("https%3A%2F%2Fwww.webofscience.com%2Fwos%2Fwoscc%2Ffull-record%2FWOS:000168410900009","View Full Record in Web of Science")</f>
        <v>View Full Record in Web of Science</v>
      </c>
    </row>
    <row r="983" spans="1:72" x14ac:dyDescent="0.15">
      <c r="A983" t="s">
        <v>72</v>
      </c>
      <c r="B983" t="s">
        <v>12976</v>
      </c>
      <c r="C983" t="s">
        <v>74</v>
      </c>
      <c r="D983" t="s">
        <v>74</v>
      </c>
      <c r="E983" t="s">
        <v>74</v>
      </c>
      <c r="F983" t="s">
        <v>12976</v>
      </c>
      <c r="G983" t="s">
        <v>74</v>
      </c>
      <c r="H983" t="s">
        <v>74</v>
      </c>
      <c r="I983" t="s">
        <v>12977</v>
      </c>
      <c r="J983" t="s">
        <v>12978</v>
      </c>
      <c r="K983" t="s">
        <v>74</v>
      </c>
      <c r="L983" t="s">
        <v>74</v>
      </c>
      <c r="M983" t="s">
        <v>77</v>
      </c>
      <c r="N983" t="s">
        <v>120</v>
      </c>
      <c r="O983" t="s">
        <v>74</v>
      </c>
      <c r="P983" t="s">
        <v>74</v>
      </c>
      <c r="Q983" t="s">
        <v>74</v>
      </c>
      <c r="R983" t="s">
        <v>74</v>
      </c>
      <c r="S983" t="s">
        <v>74</v>
      </c>
      <c r="T983" t="s">
        <v>12979</v>
      </c>
      <c r="U983" t="s">
        <v>12980</v>
      </c>
      <c r="V983" t="s">
        <v>12981</v>
      </c>
      <c r="W983" t="s">
        <v>12982</v>
      </c>
      <c r="X983" t="s">
        <v>12983</v>
      </c>
      <c r="Y983" t="s">
        <v>12984</v>
      </c>
      <c r="Z983" t="s">
        <v>74</v>
      </c>
      <c r="AA983" t="s">
        <v>12985</v>
      </c>
      <c r="AB983" t="s">
        <v>12986</v>
      </c>
      <c r="AC983" t="s">
        <v>74</v>
      </c>
      <c r="AD983" t="s">
        <v>74</v>
      </c>
      <c r="AE983" t="s">
        <v>74</v>
      </c>
      <c r="AF983" t="s">
        <v>74</v>
      </c>
      <c r="AG983">
        <v>48</v>
      </c>
      <c r="AH983">
        <v>10</v>
      </c>
      <c r="AI983">
        <v>10</v>
      </c>
      <c r="AJ983">
        <v>2</v>
      </c>
      <c r="AK983">
        <v>29</v>
      </c>
      <c r="AL983" t="s">
        <v>4243</v>
      </c>
      <c r="AM983" t="s">
        <v>4244</v>
      </c>
      <c r="AN983" t="s">
        <v>4245</v>
      </c>
      <c r="AO983" t="s">
        <v>12987</v>
      </c>
      <c r="AP983" t="s">
        <v>74</v>
      </c>
      <c r="AQ983" t="s">
        <v>74</v>
      </c>
      <c r="AR983" t="s">
        <v>12988</v>
      </c>
      <c r="AS983" t="s">
        <v>12989</v>
      </c>
      <c r="AT983" t="s">
        <v>74</v>
      </c>
      <c r="AU983">
        <v>2001</v>
      </c>
      <c r="AV983">
        <v>39</v>
      </c>
      <c r="AW983">
        <v>3</v>
      </c>
      <c r="AX983" t="s">
        <v>74</v>
      </c>
      <c r="AY983" t="s">
        <v>74</v>
      </c>
      <c r="AZ983" t="s">
        <v>74</v>
      </c>
      <c r="BA983" t="s">
        <v>74</v>
      </c>
      <c r="BB983">
        <v>543</v>
      </c>
      <c r="BC983">
        <v>563</v>
      </c>
      <c r="BD983" t="s">
        <v>74</v>
      </c>
      <c r="BE983" t="s">
        <v>12990</v>
      </c>
      <c r="BF983" t="str">
        <f>HYPERLINK("http://dx.doi.org/10.1071/SR00023","http://dx.doi.org/10.1071/SR00023")</f>
        <v>http://dx.doi.org/10.1071/SR00023</v>
      </c>
      <c r="BG983" t="s">
        <v>74</v>
      </c>
      <c r="BH983" t="s">
        <v>74</v>
      </c>
      <c r="BI983">
        <v>21</v>
      </c>
      <c r="BJ983" t="s">
        <v>8720</v>
      </c>
      <c r="BK983" t="s">
        <v>88</v>
      </c>
      <c r="BL983" t="s">
        <v>8721</v>
      </c>
      <c r="BM983" t="s">
        <v>12991</v>
      </c>
      <c r="BN983" t="s">
        <v>74</v>
      </c>
      <c r="BO983" t="s">
        <v>74</v>
      </c>
      <c r="BP983" t="s">
        <v>74</v>
      </c>
      <c r="BQ983" t="s">
        <v>74</v>
      </c>
      <c r="BR983" t="s">
        <v>91</v>
      </c>
      <c r="BS983" t="s">
        <v>12992</v>
      </c>
      <c r="BT983" t="str">
        <f>HYPERLINK("https%3A%2F%2Fwww.webofscience.com%2Fwos%2Fwoscc%2Ffull-record%2FWOS:000168284000007","View Full Record in Web of Science")</f>
        <v>View Full Record in Web of Science</v>
      </c>
    </row>
    <row r="984" spans="1:72" x14ac:dyDescent="0.15">
      <c r="A984" t="s">
        <v>72</v>
      </c>
      <c r="B984" t="s">
        <v>12993</v>
      </c>
      <c r="C984" t="s">
        <v>74</v>
      </c>
      <c r="D984" t="s">
        <v>74</v>
      </c>
      <c r="E984" t="s">
        <v>74</v>
      </c>
      <c r="F984" t="s">
        <v>12993</v>
      </c>
      <c r="G984" t="s">
        <v>74</v>
      </c>
      <c r="H984" t="s">
        <v>74</v>
      </c>
      <c r="I984" t="s">
        <v>12994</v>
      </c>
      <c r="J984" t="s">
        <v>12995</v>
      </c>
      <c r="K984" t="s">
        <v>74</v>
      </c>
      <c r="L984" t="s">
        <v>74</v>
      </c>
      <c r="M984" t="s">
        <v>77</v>
      </c>
      <c r="N984" t="s">
        <v>120</v>
      </c>
      <c r="O984" t="s">
        <v>74</v>
      </c>
      <c r="P984" t="s">
        <v>74</v>
      </c>
      <c r="Q984" t="s">
        <v>74</v>
      </c>
      <c r="R984" t="s">
        <v>74</v>
      </c>
      <c r="S984" t="s">
        <v>74</v>
      </c>
      <c r="T984" t="s">
        <v>12996</v>
      </c>
      <c r="U984" t="s">
        <v>12997</v>
      </c>
      <c r="V984" t="s">
        <v>12998</v>
      </c>
      <c r="W984" t="s">
        <v>12999</v>
      </c>
      <c r="X984" t="s">
        <v>13000</v>
      </c>
      <c r="Y984" t="s">
        <v>13001</v>
      </c>
      <c r="Z984" t="s">
        <v>13002</v>
      </c>
      <c r="AA984" t="s">
        <v>13003</v>
      </c>
      <c r="AB984" t="s">
        <v>13004</v>
      </c>
      <c r="AC984" t="s">
        <v>74</v>
      </c>
      <c r="AD984" t="s">
        <v>74</v>
      </c>
      <c r="AE984" t="s">
        <v>74</v>
      </c>
      <c r="AF984" t="s">
        <v>74</v>
      </c>
      <c r="AG984">
        <v>69</v>
      </c>
      <c r="AH984">
        <v>95</v>
      </c>
      <c r="AI984">
        <v>107</v>
      </c>
      <c r="AJ984">
        <v>0</v>
      </c>
      <c r="AK984">
        <v>29</v>
      </c>
      <c r="AL984" t="s">
        <v>13005</v>
      </c>
      <c r="AM984" t="s">
        <v>13006</v>
      </c>
      <c r="AN984" t="s">
        <v>13007</v>
      </c>
      <c r="AO984" t="s">
        <v>13008</v>
      </c>
      <c r="AP984" t="s">
        <v>13009</v>
      </c>
      <c r="AQ984" t="s">
        <v>74</v>
      </c>
      <c r="AR984" t="s">
        <v>13010</v>
      </c>
      <c r="AS984" t="s">
        <v>13011</v>
      </c>
      <c r="AT984" t="s">
        <v>12567</v>
      </c>
      <c r="AU984">
        <v>2001</v>
      </c>
      <c r="AV984">
        <v>12</v>
      </c>
      <c r="AW984">
        <v>1</v>
      </c>
      <c r="AX984" t="s">
        <v>74</v>
      </c>
      <c r="AY984" t="s">
        <v>74</v>
      </c>
      <c r="AZ984" t="s">
        <v>74</v>
      </c>
      <c r="BA984" t="s">
        <v>74</v>
      </c>
      <c r="BB984">
        <v>22</v>
      </c>
      <c r="BC984">
        <v>30</v>
      </c>
      <c r="BD984" t="s">
        <v>74</v>
      </c>
      <c r="BE984" t="s">
        <v>13012</v>
      </c>
      <c r="BF984" t="str">
        <f>HYPERLINK("http://dx.doi.org/10.1093/oxfordjournals.beheco.a000374","http://dx.doi.org/10.1093/oxfordjournals.beheco.a000374")</f>
        <v>http://dx.doi.org/10.1093/oxfordjournals.beheco.a000374</v>
      </c>
      <c r="BG984" t="s">
        <v>74</v>
      </c>
      <c r="BH984" t="s">
        <v>74</v>
      </c>
      <c r="BI984">
        <v>9</v>
      </c>
      <c r="BJ984" t="s">
        <v>13013</v>
      </c>
      <c r="BK984" t="s">
        <v>88</v>
      </c>
      <c r="BL984" t="s">
        <v>13014</v>
      </c>
      <c r="BM984" t="s">
        <v>13015</v>
      </c>
      <c r="BN984" t="s">
        <v>74</v>
      </c>
      <c r="BO984" t="s">
        <v>5066</v>
      </c>
      <c r="BP984" t="s">
        <v>74</v>
      </c>
      <c r="BQ984" t="s">
        <v>74</v>
      </c>
      <c r="BR984" t="s">
        <v>91</v>
      </c>
      <c r="BS984" t="s">
        <v>13016</v>
      </c>
      <c r="BT984" t="str">
        <f>HYPERLINK("https%3A%2F%2Fwww.webofscience.com%2Fwos%2Fwoscc%2Ffull-record%2FWOS:000166152000004","View Full Record in Web of Science")</f>
        <v>View Full Record in Web of Science</v>
      </c>
    </row>
    <row r="985" spans="1:72" x14ac:dyDescent="0.15">
      <c r="A985" t="s">
        <v>72</v>
      </c>
      <c r="B985" t="s">
        <v>13017</v>
      </c>
      <c r="C985" t="s">
        <v>74</v>
      </c>
      <c r="D985" t="s">
        <v>74</v>
      </c>
      <c r="E985" t="s">
        <v>74</v>
      </c>
      <c r="F985" t="s">
        <v>13017</v>
      </c>
      <c r="G985" t="s">
        <v>74</v>
      </c>
      <c r="H985" t="s">
        <v>74</v>
      </c>
      <c r="I985" t="s">
        <v>13018</v>
      </c>
      <c r="J985" t="s">
        <v>13019</v>
      </c>
      <c r="K985" t="s">
        <v>74</v>
      </c>
      <c r="L985" t="s">
        <v>74</v>
      </c>
      <c r="M985" t="s">
        <v>77</v>
      </c>
      <c r="N985" t="s">
        <v>120</v>
      </c>
      <c r="O985" t="s">
        <v>74</v>
      </c>
      <c r="P985" t="s">
        <v>74</v>
      </c>
      <c r="Q985" t="s">
        <v>74</v>
      </c>
      <c r="R985" t="s">
        <v>74</v>
      </c>
      <c r="S985" t="s">
        <v>74</v>
      </c>
      <c r="T985" t="s">
        <v>13020</v>
      </c>
      <c r="U985" t="s">
        <v>74</v>
      </c>
      <c r="V985" t="s">
        <v>13021</v>
      </c>
      <c r="W985" t="s">
        <v>13022</v>
      </c>
      <c r="X985" t="s">
        <v>4908</v>
      </c>
      <c r="Y985" t="s">
        <v>74</v>
      </c>
      <c r="Z985" t="s">
        <v>74</v>
      </c>
      <c r="AA985" t="s">
        <v>13023</v>
      </c>
      <c r="AB985" t="s">
        <v>13024</v>
      </c>
      <c r="AC985" t="s">
        <v>74</v>
      </c>
      <c r="AD985" t="s">
        <v>74</v>
      </c>
      <c r="AE985" t="s">
        <v>74</v>
      </c>
      <c r="AF985" t="s">
        <v>74</v>
      </c>
      <c r="AG985">
        <v>5</v>
      </c>
      <c r="AH985">
        <v>9</v>
      </c>
      <c r="AI985">
        <v>14</v>
      </c>
      <c r="AJ985">
        <v>1</v>
      </c>
      <c r="AK985">
        <v>7</v>
      </c>
      <c r="AL985" t="s">
        <v>2223</v>
      </c>
      <c r="AM985" t="s">
        <v>2224</v>
      </c>
      <c r="AN985" t="s">
        <v>5560</v>
      </c>
      <c r="AO985" t="s">
        <v>13025</v>
      </c>
      <c r="AP985" t="s">
        <v>74</v>
      </c>
      <c r="AQ985" t="s">
        <v>74</v>
      </c>
      <c r="AR985" t="s">
        <v>13019</v>
      </c>
      <c r="AS985" t="s">
        <v>13026</v>
      </c>
      <c r="AT985" t="s">
        <v>74</v>
      </c>
      <c r="AU985">
        <v>2001</v>
      </c>
      <c r="AV985">
        <v>10</v>
      </c>
      <c r="AW985" t="s">
        <v>13027</v>
      </c>
      <c r="AX985" t="s">
        <v>74</v>
      </c>
      <c r="AY985" t="s">
        <v>74</v>
      </c>
      <c r="AZ985" t="s">
        <v>74</v>
      </c>
      <c r="BA985" t="s">
        <v>74</v>
      </c>
      <c r="BB985">
        <v>237</v>
      </c>
      <c r="BC985">
        <v>241</v>
      </c>
      <c r="BD985" t="s">
        <v>74</v>
      </c>
      <c r="BE985" t="s">
        <v>13028</v>
      </c>
      <c r="BF985" t="str">
        <f>HYPERLINK("http://dx.doi.org/10.1023/A:1016383212244","http://dx.doi.org/10.1023/A:1016383212244")</f>
        <v>http://dx.doi.org/10.1023/A:1016383212244</v>
      </c>
      <c r="BG985" t="s">
        <v>74</v>
      </c>
      <c r="BH985" t="s">
        <v>74</v>
      </c>
      <c r="BI985">
        <v>5</v>
      </c>
      <c r="BJ985" t="s">
        <v>13029</v>
      </c>
      <c r="BK985" t="s">
        <v>88</v>
      </c>
      <c r="BL985" t="s">
        <v>279</v>
      </c>
      <c r="BM985" t="s">
        <v>13030</v>
      </c>
      <c r="BN985">
        <v>12233747</v>
      </c>
      <c r="BO985" t="s">
        <v>74</v>
      </c>
      <c r="BP985" t="s">
        <v>74</v>
      </c>
      <c r="BQ985" t="s">
        <v>74</v>
      </c>
      <c r="BR985" t="s">
        <v>91</v>
      </c>
      <c r="BS985" t="s">
        <v>13031</v>
      </c>
      <c r="BT985" t="str">
        <f>HYPERLINK("https%3A%2F%2Fwww.webofscience.com%2Fwos%2Fwoscc%2Ffull-record%2FWOS:000176894100012","View Full Record in Web of Science")</f>
        <v>View Full Record in Web of Science</v>
      </c>
    </row>
    <row r="986" spans="1:72" x14ac:dyDescent="0.15">
      <c r="A986" t="s">
        <v>12327</v>
      </c>
      <c r="B986" t="s">
        <v>13032</v>
      </c>
      <c r="C986" t="s">
        <v>74</v>
      </c>
      <c r="D986" t="s">
        <v>13033</v>
      </c>
      <c r="E986" t="s">
        <v>74</v>
      </c>
      <c r="F986" t="s">
        <v>13032</v>
      </c>
      <c r="G986" t="s">
        <v>74</v>
      </c>
      <c r="H986" t="s">
        <v>74</v>
      </c>
      <c r="I986" t="s">
        <v>13034</v>
      </c>
      <c r="J986" t="s">
        <v>13035</v>
      </c>
      <c r="K986" t="s">
        <v>13036</v>
      </c>
      <c r="L986" t="s">
        <v>74</v>
      </c>
      <c r="M986" t="s">
        <v>77</v>
      </c>
      <c r="N986" t="s">
        <v>12333</v>
      </c>
      <c r="O986" t="s">
        <v>13037</v>
      </c>
      <c r="P986" t="s">
        <v>12481</v>
      </c>
      <c r="Q986" t="s">
        <v>13038</v>
      </c>
      <c r="R986" t="s">
        <v>74</v>
      </c>
      <c r="S986" t="s">
        <v>13039</v>
      </c>
      <c r="T986" t="s">
        <v>74</v>
      </c>
      <c r="U986" t="s">
        <v>13040</v>
      </c>
      <c r="V986" t="s">
        <v>13041</v>
      </c>
      <c r="W986" t="s">
        <v>1103</v>
      </c>
      <c r="X986" t="s">
        <v>462</v>
      </c>
      <c r="Y986" t="s">
        <v>13042</v>
      </c>
      <c r="Z986" t="s">
        <v>74</v>
      </c>
      <c r="AA986" t="s">
        <v>74</v>
      </c>
      <c r="AB986" t="s">
        <v>74</v>
      </c>
      <c r="AC986" t="s">
        <v>74</v>
      </c>
      <c r="AD986" t="s">
        <v>74</v>
      </c>
      <c r="AE986" t="s">
        <v>74</v>
      </c>
      <c r="AF986" t="s">
        <v>74</v>
      </c>
      <c r="AG986">
        <v>29</v>
      </c>
      <c r="AH986">
        <v>11</v>
      </c>
      <c r="AI986">
        <v>11</v>
      </c>
      <c r="AJ986">
        <v>0</v>
      </c>
      <c r="AK986">
        <v>0</v>
      </c>
      <c r="AL986" t="s">
        <v>104</v>
      </c>
      <c r="AM986" t="s">
        <v>683</v>
      </c>
      <c r="AN986" t="s">
        <v>684</v>
      </c>
      <c r="AO986" t="s">
        <v>74</v>
      </c>
      <c r="AP986" t="s">
        <v>74</v>
      </c>
      <c r="AQ986" t="s">
        <v>13043</v>
      </c>
      <c r="AR986" t="s">
        <v>13044</v>
      </c>
      <c r="AS986" t="s">
        <v>74</v>
      </c>
      <c r="AT986" t="s">
        <v>74</v>
      </c>
      <c r="AU986">
        <v>2001</v>
      </c>
      <c r="AV986" t="s">
        <v>74</v>
      </c>
      <c r="AW986">
        <v>63</v>
      </c>
      <c r="AX986" t="s">
        <v>74</v>
      </c>
      <c r="AY986" t="s">
        <v>74</v>
      </c>
      <c r="AZ986" t="s">
        <v>74</v>
      </c>
      <c r="BA986" t="s">
        <v>74</v>
      </c>
      <c r="BB986">
        <v>80</v>
      </c>
      <c r="BC986">
        <v>90</v>
      </c>
      <c r="BD986" t="s">
        <v>74</v>
      </c>
      <c r="BE986" t="s">
        <v>74</v>
      </c>
      <c r="BF986" t="s">
        <v>74</v>
      </c>
      <c r="BG986" t="s">
        <v>74</v>
      </c>
      <c r="BH986" t="s">
        <v>74</v>
      </c>
      <c r="BI986">
        <v>11</v>
      </c>
      <c r="BJ986" t="s">
        <v>13045</v>
      </c>
      <c r="BK986" t="s">
        <v>12345</v>
      </c>
      <c r="BL986" t="s">
        <v>13046</v>
      </c>
      <c r="BM986" t="s">
        <v>13047</v>
      </c>
      <c r="BN986" t="s">
        <v>74</v>
      </c>
      <c r="BO986" t="s">
        <v>74</v>
      </c>
      <c r="BP986" t="s">
        <v>74</v>
      </c>
      <c r="BQ986" t="s">
        <v>74</v>
      </c>
      <c r="BR986" t="s">
        <v>91</v>
      </c>
      <c r="BS986" t="s">
        <v>13048</v>
      </c>
      <c r="BT986" t="str">
        <f>HYPERLINK("https%3A%2F%2Fwww.webofscience.com%2Fwos%2Fwoscc%2Ffull-record%2FWOS:000177351000008","View Full Record in Web of Science")</f>
        <v>View Full Record in Web of Science</v>
      </c>
    </row>
    <row r="987" spans="1:72" x14ac:dyDescent="0.15">
      <c r="A987" t="s">
        <v>72</v>
      </c>
      <c r="B987" t="s">
        <v>13049</v>
      </c>
      <c r="C987" t="s">
        <v>74</v>
      </c>
      <c r="D987" t="s">
        <v>74</v>
      </c>
      <c r="E987" t="s">
        <v>74</v>
      </c>
      <c r="F987" t="s">
        <v>13049</v>
      </c>
      <c r="G987" t="s">
        <v>74</v>
      </c>
      <c r="H987" t="s">
        <v>74</v>
      </c>
      <c r="I987" t="s">
        <v>13050</v>
      </c>
      <c r="J987" t="s">
        <v>13051</v>
      </c>
      <c r="K987" t="s">
        <v>74</v>
      </c>
      <c r="L987" t="s">
        <v>74</v>
      </c>
      <c r="M987" t="s">
        <v>77</v>
      </c>
      <c r="N987" t="s">
        <v>120</v>
      </c>
      <c r="O987" t="s">
        <v>74</v>
      </c>
      <c r="P987" t="s">
        <v>74</v>
      </c>
      <c r="Q987" t="s">
        <v>74</v>
      </c>
      <c r="R987" t="s">
        <v>74</v>
      </c>
      <c r="S987" t="s">
        <v>74</v>
      </c>
      <c r="T987" t="s">
        <v>13052</v>
      </c>
      <c r="U987" t="s">
        <v>13053</v>
      </c>
      <c r="V987" t="s">
        <v>13054</v>
      </c>
      <c r="W987" t="s">
        <v>3813</v>
      </c>
      <c r="X987" t="s">
        <v>3814</v>
      </c>
      <c r="Y987" t="s">
        <v>13055</v>
      </c>
      <c r="Z987" t="s">
        <v>74</v>
      </c>
      <c r="AA987" t="s">
        <v>74</v>
      </c>
      <c r="AB987" t="s">
        <v>74</v>
      </c>
      <c r="AC987" t="s">
        <v>74</v>
      </c>
      <c r="AD987" t="s">
        <v>74</v>
      </c>
      <c r="AE987" t="s">
        <v>74</v>
      </c>
      <c r="AF987" t="s">
        <v>74</v>
      </c>
      <c r="AG987">
        <v>34</v>
      </c>
      <c r="AH987">
        <v>31</v>
      </c>
      <c r="AI987">
        <v>39</v>
      </c>
      <c r="AJ987">
        <v>0</v>
      </c>
      <c r="AK987">
        <v>24</v>
      </c>
      <c r="AL987" t="s">
        <v>13056</v>
      </c>
      <c r="AM987" t="s">
        <v>13057</v>
      </c>
      <c r="AN987" t="s">
        <v>13058</v>
      </c>
      <c r="AO987" t="s">
        <v>13059</v>
      </c>
      <c r="AP987" t="s">
        <v>74</v>
      </c>
      <c r="AQ987" t="s">
        <v>74</v>
      </c>
      <c r="AR987" t="s">
        <v>13060</v>
      </c>
      <c r="AS987" t="s">
        <v>13061</v>
      </c>
      <c r="AT987" t="s">
        <v>12472</v>
      </c>
      <c r="AU987">
        <v>2001</v>
      </c>
      <c r="AV987">
        <v>57</v>
      </c>
      <c r="AW987">
        <v>1</v>
      </c>
      <c r="AX987" t="s">
        <v>74</v>
      </c>
      <c r="AY987" t="s">
        <v>74</v>
      </c>
      <c r="AZ987" t="s">
        <v>74</v>
      </c>
      <c r="BA987" t="s">
        <v>74</v>
      </c>
      <c r="BB987">
        <v>33</v>
      </c>
      <c r="BC987">
        <v>38</v>
      </c>
      <c r="BD987" t="s">
        <v>74</v>
      </c>
      <c r="BE987" t="s">
        <v>13062</v>
      </c>
      <c r="BF987" t="str">
        <f>HYPERLINK("http://dx.doi.org/10.1159/000047224","http://dx.doi.org/10.1159/000047224")</f>
        <v>http://dx.doi.org/10.1159/000047224</v>
      </c>
      <c r="BG987" t="s">
        <v>74</v>
      </c>
      <c r="BH987" t="s">
        <v>74</v>
      </c>
      <c r="BI987">
        <v>6</v>
      </c>
      <c r="BJ987" t="s">
        <v>13063</v>
      </c>
      <c r="BK987" t="s">
        <v>88</v>
      </c>
      <c r="BL987" t="s">
        <v>13064</v>
      </c>
      <c r="BM987" t="s">
        <v>13065</v>
      </c>
      <c r="BN987">
        <v>11359046</v>
      </c>
      <c r="BO987" t="s">
        <v>74</v>
      </c>
      <c r="BP987" t="s">
        <v>74</v>
      </c>
      <c r="BQ987" t="s">
        <v>74</v>
      </c>
      <c r="BR987" t="s">
        <v>91</v>
      </c>
      <c r="BS987" t="s">
        <v>13066</v>
      </c>
      <c r="BT987" t="str">
        <f>HYPERLINK("https%3A%2F%2Fwww.webofscience.com%2Fwos%2Fwoscc%2Ffull-record%2FWOS:000168971600003","View Full Record in Web of Science")</f>
        <v>View Full Record in Web of Science</v>
      </c>
    </row>
    <row r="988" spans="1:72" x14ac:dyDescent="0.15">
      <c r="A988" t="s">
        <v>72</v>
      </c>
      <c r="B988" t="s">
        <v>13067</v>
      </c>
      <c r="C988" t="s">
        <v>74</v>
      </c>
      <c r="D988" t="s">
        <v>74</v>
      </c>
      <c r="E988" t="s">
        <v>74</v>
      </c>
      <c r="F988" t="s">
        <v>13067</v>
      </c>
      <c r="G988" t="s">
        <v>74</v>
      </c>
      <c r="H988" t="s">
        <v>74</v>
      </c>
      <c r="I988" t="s">
        <v>13068</v>
      </c>
      <c r="J988" t="s">
        <v>13069</v>
      </c>
      <c r="K988" t="s">
        <v>74</v>
      </c>
      <c r="L988" t="s">
        <v>74</v>
      </c>
      <c r="M988" t="s">
        <v>77</v>
      </c>
      <c r="N988" t="s">
        <v>120</v>
      </c>
      <c r="O988" t="s">
        <v>74</v>
      </c>
      <c r="P988" t="s">
        <v>74</v>
      </c>
      <c r="Q988" t="s">
        <v>74</v>
      </c>
      <c r="R988" t="s">
        <v>74</v>
      </c>
      <c r="S988" t="s">
        <v>74</v>
      </c>
      <c r="T988" t="s">
        <v>74</v>
      </c>
      <c r="U988" t="s">
        <v>13070</v>
      </c>
      <c r="V988" t="s">
        <v>74</v>
      </c>
      <c r="W988" t="s">
        <v>13071</v>
      </c>
      <c r="X988" t="s">
        <v>13072</v>
      </c>
      <c r="Y988" t="s">
        <v>13073</v>
      </c>
      <c r="Z988" t="s">
        <v>74</v>
      </c>
      <c r="AA988" t="s">
        <v>74</v>
      </c>
      <c r="AB988" t="s">
        <v>13074</v>
      </c>
      <c r="AC988" t="s">
        <v>74</v>
      </c>
      <c r="AD988" t="s">
        <v>74</v>
      </c>
      <c r="AE988" t="s">
        <v>74</v>
      </c>
      <c r="AF988" t="s">
        <v>74</v>
      </c>
      <c r="AG988">
        <v>25</v>
      </c>
      <c r="AH988">
        <v>18</v>
      </c>
      <c r="AI988">
        <v>18</v>
      </c>
      <c r="AJ988">
        <v>0</v>
      </c>
      <c r="AK988">
        <v>2</v>
      </c>
      <c r="AL988" t="s">
        <v>13075</v>
      </c>
      <c r="AM988" t="s">
        <v>13076</v>
      </c>
      <c r="AN988" t="s">
        <v>13077</v>
      </c>
      <c r="AO988" t="s">
        <v>13078</v>
      </c>
      <c r="AP988" t="s">
        <v>74</v>
      </c>
      <c r="AQ988" t="s">
        <v>74</v>
      </c>
      <c r="AR988" t="s">
        <v>13079</v>
      </c>
      <c r="AS988" t="s">
        <v>13080</v>
      </c>
      <c r="AT988" t="s">
        <v>12472</v>
      </c>
      <c r="AU988">
        <v>2001</v>
      </c>
      <c r="AV988">
        <v>68</v>
      </c>
      <c r="AW988">
        <v>1</v>
      </c>
      <c r="AX988" t="s">
        <v>74</v>
      </c>
      <c r="AY988" t="s">
        <v>74</v>
      </c>
      <c r="AZ988" t="s">
        <v>74</v>
      </c>
      <c r="BA988" t="s">
        <v>74</v>
      </c>
      <c r="BB988">
        <v>157</v>
      </c>
      <c r="BC988">
        <v>162</v>
      </c>
      <c r="BD988" t="s">
        <v>74</v>
      </c>
      <c r="BE988" t="s">
        <v>74</v>
      </c>
      <c r="BF988" t="s">
        <v>74</v>
      </c>
      <c r="BG988" t="s">
        <v>74</v>
      </c>
      <c r="BH988" t="s">
        <v>74</v>
      </c>
      <c r="BI988">
        <v>6</v>
      </c>
      <c r="BJ988" t="s">
        <v>2574</v>
      </c>
      <c r="BK988" t="s">
        <v>88</v>
      </c>
      <c r="BL988" t="s">
        <v>2574</v>
      </c>
      <c r="BM988" t="s">
        <v>13081</v>
      </c>
      <c r="BN988" t="s">
        <v>74</v>
      </c>
      <c r="BO988" t="s">
        <v>74</v>
      </c>
      <c r="BP988" t="s">
        <v>74</v>
      </c>
      <c r="BQ988" t="s">
        <v>74</v>
      </c>
      <c r="BR988" t="s">
        <v>91</v>
      </c>
      <c r="BS988" t="s">
        <v>13082</v>
      </c>
      <c r="BT988" t="str">
        <f>HYPERLINK("https%3A%2F%2Fwww.webofscience.com%2Fwos%2Fwoscc%2Ffull-record%2FWOS:000166940200016","View Full Record in Web of Science")</f>
        <v>View Full Record in Web of Science</v>
      </c>
    </row>
    <row r="989" spans="1:72" x14ac:dyDescent="0.15">
      <c r="A989" t="s">
        <v>72</v>
      </c>
      <c r="B989" t="s">
        <v>13083</v>
      </c>
      <c r="C989" t="s">
        <v>74</v>
      </c>
      <c r="D989" t="s">
        <v>74</v>
      </c>
      <c r="E989" t="s">
        <v>74</v>
      </c>
      <c r="F989" t="s">
        <v>13083</v>
      </c>
      <c r="G989" t="s">
        <v>74</v>
      </c>
      <c r="H989" t="s">
        <v>74</v>
      </c>
      <c r="I989" t="s">
        <v>13084</v>
      </c>
      <c r="J989" t="s">
        <v>6920</v>
      </c>
      <c r="K989" t="s">
        <v>74</v>
      </c>
      <c r="L989" t="s">
        <v>74</v>
      </c>
      <c r="M989" t="s">
        <v>77</v>
      </c>
      <c r="N989" t="s">
        <v>120</v>
      </c>
      <c r="O989" t="s">
        <v>74</v>
      </c>
      <c r="P989" t="s">
        <v>74</v>
      </c>
      <c r="Q989" t="s">
        <v>74</v>
      </c>
      <c r="R989" t="s">
        <v>74</v>
      </c>
      <c r="S989" t="s">
        <v>74</v>
      </c>
      <c r="T989" t="s">
        <v>74</v>
      </c>
      <c r="U989" t="s">
        <v>13085</v>
      </c>
      <c r="V989" t="s">
        <v>13086</v>
      </c>
      <c r="W989" t="s">
        <v>13087</v>
      </c>
      <c r="X989" t="s">
        <v>13088</v>
      </c>
      <c r="Y989" t="s">
        <v>13089</v>
      </c>
      <c r="Z989" t="s">
        <v>74</v>
      </c>
      <c r="AA989" t="s">
        <v>7994</v>
      </c>
      <c r="AB989" t="s">
        <v>2111</v>
      </c>
      <c r="AC989" t="s">
        <v>74</v>
      </c>
      <c r="AD989" t="s">
        <v>74</v>
      </c>
      <c r="AE989" t="s">
        <v>74</v>
      </c>
      <c r="AF989" t="s">
        <v>74</v>
      </c>
      <c r="AG989">
        <v>56</v>
      </c>
      <c r="AH989">
        <v>125</v>
      </c>
      <c r="AI989">
        <v>132</v>
      </c>
      <c r="AJ989">
        <v>5</v>
      </c>
      <c r="AK989">
        <v>79</v>
      </c>
      <c r="AL989" t="s">
        <v>6928</v>
      </c>
      <c r="AM989" t="s">
        <v>5802</v>
      </c>
      <c r="AN989" t="s">
        <v>6929</v>
      </c>
      <c r="AO989" t="s">
        <v>5804</v>
      </c>
      <c r="AP989" t="s">
        <v>74</v>
      </c>
      <c r="AQ989" t="s">
        <v>74</v>
      </c>
      <c r="AR989" t="s">
        <v>5806</v>
      </c>
      <c r="AS989" t="s">
        <v>6930</v>
      </c>
      <c r="AT989" t="s">
        <v>12472</v>
      </c>
      <c r="AU989">
        <v>2001</v>
      </c>
      <c r="AV989">
        <v>79</v>
      </c>
      <c r="AW989">
        <v>1</v>
      </c>
      <c r="AX989" t="s">
        <v>74</v>
      </c>
      <c r="AY989" t="s">
        <v>74</v>
      </c>
      <c r="AZ989" t="s">
        <v>74</v>
      </c>
      <c r="BA989" t="s">
        <v>74</v>
      </c>
      <c r="BB989">
        <v>35</v>
      </c>
      <c r="BC989">
        <v>48</v>
      </c>
      <c r="BD989" t="s">
        <v>74</v>
      </c>
      <c r="BE989" t="s">
        <v>13090</v>
      </c>
      <c r="BF989" t="str">
        <f>HYPERLINK("http://dx.doi.org/10.1139/cjz-79-1-35","http://dx.doi.org/10.1139/cjz-79-1-35")</f>
        <v>http://dx.doi.org/10.1139/cjz-79-1-35</v>
      </c>
      <c r="BG989" t="s">
        <v>74</v>
      </c>
      <c r="BH989" t="s">
        <v>74</v>
      </c>
      <c r="BI989">
        <v>14</v>
      </c>
      <c r="BJ989" t="s">
        <v>408</v>
      </c>
      <c r="BK989" t="s">
        <v>88</v>
      </c>
      <c r="BL989" t="s">
        <v>408</v>
      </c>
      <c r="BM989" t="s">
        <v>13091</v>
      </c>
      <c r="BN989" t="s">
        <v>74</v>
      </c>
      <c r="BO989" t="s">
        <v>74</v>
      </c>
      <c r="BP989" t="s">
        <v>74</v>
      </c>
      <c r="BQ989" t="s">
        <v>74</v>
      </c>
      <c r="BR989" t="s">
        <v>91</v>
      </c>
      <c r="BS989" t="s">
        <v>13092</v>
      </c>
      <c r="BT989" t="str">
        <f>HYPERLINK("https%3A%2F%2Fwww.webofscience.com%2Fwos%2Fwoscc%2Ffull-record%2FWOS:000166798100005","View Full Record in Web of Science")</f>
        <v>View Full Record in Web of Science</v>
      </c>
    </row>
    <row r="990" spans="1:72" x14ac:dyDescent="0.15">
      <c r="A990" t="s">
        <v>72</v>
      </c>
      <c r="B990" t="s">
        <v>13093</v>
      </c>
      <c r="C990" t="s">
        <v>74</v>
      </c>
      <c r="D990" t="s">
        <v>74</v>
      </c>
      <c r="E990" t="s">
        <v>74</v>
      </c>
      <c r="F990" t="s">
        <v>13093</v>
      </c>
      <c r="G990" t="s">
        <v>74</v>
      </c>
      <c r="H990" t="s">
        <v>74</v>
      </c>
      <c r="I990" t="s">
        <v>13094</v>
      </c>
      <c r="J990" t="s">
        <v>13095</v>
      </c>
      <c r="K990" t="s">
        <v>74</v>
      </c>
      <c r="L990" t="s">
        <v>74</v>
      </c>
      <c r="M990" t="s">
        <v>77</v>
      </c>
      <c r="N990" t="s">
        <v>120</v>
      </c>
      <c r="O990" t="s">
        <v>74</v>
      </c>
      <c r="P990" t="s">
        <v>74</v>
      </c>
      <c r="Q990" t="s">
        <v>74</v>
      </c>
      <c r="R990" t="s">
        <v>74</v>
      </c>
      <c r="S990" t="s">
        <v>74</v>
      </c>
      <c r="T990" t="s">
        <v>13096</v>
      </c>
      <c r="U990" t="s">
        <v>13097</v>
      </c>
      <c r="V990" t="s">
        <v>13098</v>
      </c>
      <c r="W990" t="s">
        <v>13099</v>
      </c>
      <c r="X990" t="s">
        <v>13100</v>
      </c>
      <c r="Y990" t="s">
        <v>13101</v>
      </c>
      <c r="Z990" t="s">
        <v>74</v>
      </c>
      <c r="AA990" t="s">
        <v>13102</v>
      </c>
      <c r="AB990" t="s">
        <v>13103</v>
      </c>
      <c r="AC990" t="s">
        <v>74</v>
      </c>
      <c r="AD990" t="s">
        <v>74</v>
      </c>
      <c r="AE990" t="s">
        <v>74</v>
      </c>
      <c r="AF990" t="s">
        <v>74</v>
      </c>
      <c r="AG990">
        <v>22</v>
      </c>
      <c r="AH990">
        <v>31</v>
      </c>
      <c r="AI990">
        <v>32</v>
      </c>
      <c r="AJ990">
        <v>0</v>
      </c>
      <c r="AK990">
        <v>6</v>
      </c>
      <c r="AL990" t="s">
        <v>13104</v>
      </c>
      <c r="AM990" t="s">
        <v>13105</v>
      </c>
      <c r="AN990" t="s">
        <v>13106</v>
      </c>
      <c r="AO990" t="s">
        <v>13107</v>
      </c>
      <c r="AP990" t="s">
        <v>74</v>
      </c>
      <c r="AQ990" t="s">
        <v>74</v>
      </c>
      <c r="AR990" t="s">
        <v>13108</v>
      </c>
      <c r="AS990" t="s">
        <v>13109</v>
      </c>
      <c r="AT990" t="s">
        <v>74</v>
      </c>
      <c r="AU990">
        <v>2001</v>
      </c>
      <c r="AV990">
        <v>8</v>
      </c>
      <c r="AW990" t="s">
        <v>74</v>
      </c>
      <c r="AX990" t="s">
        <v>74</v>
      </c>
      <c r="AY990" t="s">
        <v>74</v>
      </c>
      <c r="AZ990" t="s">
        <v>74</v>
      </c>
      <c r="BA990" t="s">
        <v>74</v>
      </c>
      <c r="BB990">
        <v>1</v>
      </c>
      <c r="BC990">
        <v>23</v>
      </c>
      <c r="BD990" t="s">
        <v>74</v>
      </c>
      <c r="BE990" t="s">
        <v>74</v>
      </c>
      <c r="BF990" t="s">
        <v>74</v>
      </c>
      <c r="BG990" t="s">
        <v>74</v>
      </c>
      <c r="BH990" t="s">
        <v>74</v>
      </c>
      <c r="BI990">
        <v>23</v>
      </c>
      <c r="BJ990" t="s">
        <v>5948</v>
      </c>
      <c r="BK990" t="s">
        <v>88</v>
      </c>
      <c r="BL990" t="s">
        <v>5948</v>
      </c>
      <c r="BM990" t="s">
        <v>13110</v>
      </c>
      <c r="BN990" t="s">
        <v>74</v>
      </c>
      <c r="BO990" t="s">
        <v>74</v>
      </c>
      <c r="BP990" t="s">
        <v>74</v>
      </c>
      <c r="BQ990" t="s">
        <v>74</v>
      </c>
      <c r="BR990" t="s">
        <v>91</v>
      </c>
      <c r="BS990" t="s">
        <v>13111</v>
      </c>
      <c r="BT990" t="str">
        <f>HYPERLINK("https%3A%2F%2Fwww.webofscience.com%2Fwos%2Fwoscc%2Ffull-record%2FWOS:000172274600001","View Full Record in Web of Science")</f>
        <v>View Full Record in Web of Science</v>
      </c>
    </row>
    <row r="991" spans="1:72" x14ac:dyDescent="0.15">
      <c r="A991" t="s">
        <v>72</v>
      </c>
      <c r="B991" t="s">
        <v>13112</v>
      </c>
      <c r="C991" t="s">
        <v>74</v>
      </c>
      <c r="D991" t="s">
        <v>74</v>
      </c>
      <c r="E991" t="s">
        <v>74</v>
      </c>
      <c r="F991" t="s">
        <v>13112</v>
      </c>
      <c r="G991" t="s">
        <v>74</v>
      </c>
      <c r="H991" t="s">
        <v>74</v>
      </c>
      <c r="I991" t="s">
        <v>13113</v>
      </c>
      <c r="J991" t="s">
        <v>13095</v>
      </c>
      <c r="K991" t="s">
        <v>74</v>
      </c>
      <c r="L991" t="s">
        <v>74</v>
      </c>
      <c r="M991" t="s">
        <v>77</v>
      </c>
      <c r="N991" t="s">
        <v>120</v>
      </c>
      <c r="O991" t="s">
        <v>74</v>
      </c>
      <c r="P991" t="s">
        <v>74</v>
      </c>
      <c r="Q991" t="s">
        <v>74</v>
      </c>
      <c r="R991" t="s">
        <v>74</v>
      </c>
      <c r="S991" t="s">
        <v>74</v>
      </c>
      <c r="T991" t="s">
        <v>13114</v>
      </c>
      <c r="U991" t="s">
        <v>13115</v>
      </c>
      <c r="V991" t="s">
        <v>13116</v>
      </c>
      <c r="W991" t="s">
        <v>13117</v>
      </c>
      <c r="X991" t="s">
        <v>13118</v>
      </c>
      <c r="Y991" t="s">
        <v>13119</v>
      </c>
      <c r="Z991" t="s">
        <v>74</v>
      </c>
      <c r="AA991" t="s">
        <v>13120</v>
      </c>
      <c r="AB991" t="s">
        <v>13121</v>
      </c>
      <c r="AC991" t="s">
        <v>74</v>
      </c>
      <c r="AD991" t="s">
        <v>74</v>
      </c>
      <c r="AE991" t="s">
        <v>74</v>
      </c>
      <c r="AF991" t="s">
        <v>74</v>
      </c>
      <c r="AG991">
        <v>16</v>
      </c>
      <c r="AH991">
        <v>4</v>
      </c>
      <c r="AI991">
        <v>4</v>
      </c>
      <c r="AJ991">
        <v>0</v>
      </c>
      <c r="AK991">
        <v>3</v>
      </c>
      <c r="AL991" t="s">
        <v>13104</v>
      </c>
      <c r="AM991" t="s">
        <v>13105</v>
      </c>
      <c r="AN991" t="s">
        <v>13106</v>
      </c>
      <c r="AO991" t="s">
        <v>13107</v>
      </c>
      <c r="AP991" t="s">
        <v>74</v>
      </c>
      <c r="AQ991" t="s">
        <v>74</v>
      </c>
      <c r="AR991" t="s">
        <v>13108</v>
      </c>
      <c r="AS991" t="s">
        <v>13109</v>
      </c>
      <c r="AT991" t="s">
        <v>74</v>
      </c>
      <c r="AU991">
        <v>2001</v>
      </c>
      <c r="AV991">
        <v>8</v>
      </c>
      <c r="AW991" t="s">
        <v>74</v>
      </c>
      <c r="AX991" t="s">
        <v>74</v>
      </c>
      <c r="AY991" t="s">
        <v>74</v>
      </c>
      <c r="AZ991" t="s">
        <v>74</v>
      </c>
      <c r="BA991" t="s">
        <v>74</v>
      </c>
      <c r="BB991">
        <v>25</v>
      </c>
      <c r="BC991">
        <v>36</v>
      </c>
      <c r="BD991" t="s">
        <v>74</v>
      </c>
      <c r="BE991" t="s">
        <v>74</v>
      </c>
      <c r="BF991" t="s">
        <v>74</v>
      </c>
      <c r="BG991" t="s">
        <v>74</v>
      </c>
      <c r="BH991" t="s">
        <v>74</v>
      </c>
      <c r="BI991">
        <v>12</v>
      </c>
      <c r="BJ991" t="s">
        <v>5948</v>
      </c>
      <c r="BK991" t="s">
        <v>88</v>
      </c>
      <c r="BL991" t="s">
        <v>5948</v>
      </c>
      <c r="BM991" t="s">
        <v>13110</v>
      </c>
      <c r="BN991" t="s">
        <v>74</v>
      </c>
      <c r="BO991" t="s">
        <v>74</v>
      </c>
      <c r="BP991" t="s">
        <v>74</v>
      </c>
      <c r="BQ991" t="s">
        <v>74</v>
      </c>
      <c r="BR991" t="s">
        <v>91</v>
      </c>
      <c r="BS991" t="s">
        <v>13122</v>
      </c>
      <c r="BT991" t="str">
        <f>HYPERLINK("https%3A%2F%2Fwww.webofscience.com%2Fwos%2Fwoscc%2Ffull-record%2FWOS:000172274600002","View Full Record in Web of Science")</f>
        <v>View Full Record in Web of Science</v>
      </c>
    </row>
    <row r="992" spans="1:72" x14ac:dyDescent="0.15">
      <c r="A992" t="s">
        <v>72</v>
      </c>
      <c r="B992" t="s">
        <v>13123</v>
      </c>
      <c r="C992" t="s">
        <v>74</v>
      </c>
      <c r="D992" t="s">
        <v>74</v>
      </c>
      <c r="E992" t="s">
        <v>74</v>
      </c>
      <c r="F992" t="s">
        <v>13123</v>
      </c>
      <c r="G992" t="s">
        <v>74</v>
      </c>
      <c r="H992" t="s">
        <v>74</v>
      </c>
      <c r="I992" t="s">
        <v>13124</v>
      </c>
      <c r="J992" t="s">
        <v>13095</v>
      </c>
      <c r="K992" t="s">
        <v>74</v>
      </c>
      <c r="L992" t="s">
        <v>74</v>
      </c>
      <c r="M992" t="s">
        <v>77</v>
      </c>
      <c r="N992" t="s">
        <v>120</v>
      </c>
      <c r="O992" t="s">
        <v>74</v>
      </c>
      <c r="P992" t="s">
        <v>74</v>
      </c>
      <c r="Q992" t="s">
        <v>74</v>
      </c>
      <c r="R992" t="s">
        <v>74</v>
      </c>
      <c r="S992" t="s">
        <v>74</v>
      </c>
      <c r="T992" t="s">
        <v>13125</v>
      </c>
      <c r="U992" t="s">
        <v>13126</v>
      </c>
      <c r="V992" t="s">
        <v>13127</v>
      </c>
      <c r="W992" t="s">
        <v>7523</v>
      </c>
      <c r="X992" t="s">
        <v>7524</v>
      </c>
      <c r="Y992" t="s">
        <v>13128</v>
      </c>
      <c r="Z992" t="s">
        <v>74</v>
      </c>
      <c r="AA992" t="s">
        <v>74</v>
      </c>
      <c r="AB992" t="s">
        <v>74</v>
      </c>
      <c r="AC992" t="s">
        <v>74</v>
      </c>
      <c r="AD992" t="s">
        <v>74</v>
      </c>
      <c r="AE992" t="s">
        <v>74</v>
      </c>
      <c r="AF992" t="s">
        <v>74</v>
      </c>
      <c r="AG992">
        <v>48</v>
      </c>
      <c r="AH992">
        <v>51</v>
      </c>
      <c r="AI992">
        <v>54</v>
      </c>
      <c r="AJ992">
        <v>1</v>
      </c>
      <c r="AK992">
        <v>21</v>
      </c>
      <c r="AL992" t="s">
        <v>13104</v>
      </c>
      <c r="AM992" t="s">
        <v>13105</v>
      </c>
      <c r="AN992" t="s">
        <v>13106</v>
      </c>
      <c r="AO992" t="s">
        <v>13107</v>
      </c>
      <c r="AP992" t="s">
        <v>74</v>
      </c>
      <c r="AQ992" t="s">
        <v>74</v>
      </c>
      <c r="AR992" t="s">
        <v>13108</v>
      </c>
      <c r="AS992" t="s">
        <v>13109</v>
      </c>
      <c r="AT992" t="s">
        <v>74</v>
      </c>
      <c r="AU992">
        <v>2001</v>
      </c>
      <c r="AV992">
        <v>8</v>
      </c>
      <c r="AW992" t="s">
        <v>74</v>
      </c>
      <c r="AX992" t="s">
        <v>74</v>
      </c>
      <c r="AY992" t="s">
        <v>74</v>
      </c>
      <c r="AZ992" t="s">
        <v>74</v>
      </c>
      <c r="BA992" t="s">
        <v>74</v>
      </c>
      <c r="BB992">
        <v>37</v>
      </c>
      <c r="BC992">
        <v>64</v>
      </c>
      <c r="BD992" t="s">
        <v>74</v>
      </c>
      <c r="BE992" t="s">
        <v>74</v>
      </c>
      <c r="BF992" t="s">
        <v>74</v>
      </c>
      <c r="BG992" t="s">
        <v>74</v>
      </c>
      <c r="BH992" t="s">
        <v>74</v>
      </c>
      <c r="BI992">
        <v>28</v>
      </c>
      <c r="BJ992" t="s">
        <v>5948</v>
      </c>
      <c r="BK992" t="s">
        <v>88</v>
      </c>
      <c r="BL992" t="s">
        <v>5948</v>
      </c>
      <c r="BM992" t="s">
        <v>13110</v>
      </c>
      <c r="BN992" t="s">
        <v>74</v>
      </c>
      <c r="BO992" t="s">
        <v>74</v>
      </c>
      <c r="BP992" t="s">
        <v>74</v>
      </c>
      <c r="BQ992" t="s">
        <v>74</v>
      </c>
      <c r="BR992" t="s">
        <v>91</v>
      </c>
      <c r="BS992" t="s">
        <v>13129</v>
      </c>
      <c r="BT992" t="str">
        <f>HYPERLINK("https%3A%2F%2Fwww.webofscience.com%2Fwos%2Fwoscc%2Ffull-record%2FWOS:000172274600003","View Full Record in Web of Science")</f>
        <v>View Full Record in Web of Science</v>
      </c>
    </row>
    <row r="993" spans="1:72" x14ac:dyDescent="0.15">
      <c r="A993" t="s">
        <v>72</v>
      </c>
      <c r="B993" t="s">
        <v>13130</v>
      </c>
      <c r="C993" t="s">
        <v>74</v>
      </c>
      <c r="D993" t="s">
        <v>74</v>
      </c>
      <c r="E993" t="s">
        <v>74</v>
      </c>
      <c r="F993" t="s">
        <v>13130</v>
      </c>
      <c r="G993" t="s">
        <v>74</v>
      </c>
      <c r="H993" t="s">
        <v>74</v>
      </c>
      <c r="I993" t="s">
        <v>13131</v>
      </c>
      <c r="J993" t="s">
        <v>13095</v>
      </c>
      <c r="K993" t="s">
        <v>74</v>
      </c>
      <c r="L993" t="s">
        <v>74</v>
      </c>
      <c r="M993" t="s">
        <v>77</v>
      </c>
      <c r="N993" t="s">
        <v>120</v>
      </c>
      <c r="O993" t="s">
        <v>74</v>
      </c>
      <c r="P993" t="s">
        <v>74</v>
      </c>
      <c r="Q993" t="s">
        <v>74</v>
      </c>
      <c r="R993" t="s">
        <v>74</v>
      </c>
      <c r="S993" t="s">
        <v>74</v>
      </c>
      <c r="T993" t="s">
        <v>13132</v>
      </c>
      <c r="U993" t="s">
        <v>13133</v>
      </c>
      <c r="V993" t="s">
        <v>13134</v>
      </c>
      <c r="W993" t="s">
        <v>13135</v>
      </c>
      <c r="X993" t="s">
        <v>13136</v>
      </c>
      <c r="Y993" t="s">
        <v>13137</v>
      </c>
      <c r="Z993" t="s">
        <v>74</v>
      </c>
      <c r="AA993" t="s">
        <v>74</v>
      </c>
      <c r="AB993" t="s">
        <v>74</v>
      </c>
      <c r="AC993" t="s">
        <v>74</v>
      </c>
      <c r="AD993" t="s">
        <v>74</v>
      </c>
      <c r="AE993" t="s">
        <v>74</v>
      </c>
      <c r="AF993" t="s">
        <v>74</v>
      </c>
      <c r="AG993">
        <v>12</v>
      </c>
      <c r="AH993">
        <v>3</v>
      </c>
      <c r="AI993">
        <v>3</v>
      </c>
      <c r="AJ993">
        <v>0</v>
      </c>
      <c r="AK993">
        <v>3</v>
      </c>
      <c r="AL993" t="s">
        <v>13104</v>
      </c>
      <c r="AM993" t="s">
        <v>13105</v>
      </c>
      <c r="AN993" t="s">
        <v>13106</v>
      </c>
      <c r="AO993" t="s">
        <v>13107</v>
      </c>
      <c r="AP993" t="s">
        <v>74</v>
      </c>
      <c r="AQ993" t="s">
        <v>74</v>
      </c>
      <c r="AR993" t="s">
        <v>13108</v>
      </c>
      <c r="AS993" t="s">
        <v>13109</v>
      </c>
      <c r="AT993" t="s">
        <v>74</v>
      </c>
      <c r="AU993">
        <v>2001</v>
      </c>
      <c r="AV993">
        <v>8</v>
      </c>
      <c r="AW993" t="s">
        <v>74</v>
      </c>
      <c r="AX993" t="s">
        <v>74</v>
      </c>
      <c r="AY993" t="s">
        <v>74</v>
      </c>
      <c r="AZ993" t="s">
        <v>74</v>
      </c>
      <c r="BA993" t="s">
        <v>74</v>
      </c>
      <c r="BB993">
        <v>65</v>
      </c>
      <c r="BC993">
        <v>74</v>
      </c>
      <c r="BD993" t="s">
        <v>74</v>
      </c>
      <c r="BE993" t="s">
        <v>74</v>
      </c>
      <c r="BF993" t="s">
        <v>74</v>
      </c>
      <c r="BG993" t="s">
        <v>74</v>
      </c>
      <c r="BH993" t="s">
        <v>74</v>
      </c>
      <c r="BI993">
        <v>10</v>
      </c>
      <c r="BJ993" t="s">
        <v>5948</v>
      </c>
      <c r="BK993" t="s">
        <v>88</v>
      </c>
      <c r="BL993" t="s">
        <v>5948</v>
      </c>
      <c r="BM993" t="s">
        <v>13110</v>
      </c>
      <c r="BN993" t="s">
        <v>74</v>
      </c>
      <c r="BO993" t="s">
        <v>74</v>
      </c>
      <c r="BP993" t="s">
        <v>74</v>
      </c>
      <c r="BQ993" t="s">
        <v>74</v>
      </c>
      <c r="BR993" t="s">
        <v>91</v>
      </c>
      <c r="BS993" t="s">
        <v>13138</v>
      </c>
      <c r="BT993" t="str">
        <f>HYPERLINK("https%3A%2F%2Fwww.webofscience.com%2Fwos%2Fwoscc%2Ffull-record%2FWOS:000172274600004","View Full Record in Web of Science")</f>
        <v>View Full Record in Web of Science</v>
      </c>
    </row>
    <row r="994" spans="1:72" x14ac:dyDescent="0.15">
      <c r="A994" t="s">
        <v>72</v>
      </c>
      <c r="B994" t="s">
        <v>13139</v>
      </c>
      <c r="C994" t="s">
        <v>74</v>
      </c>
      <c r="D994" t="s">
        <v>74</v>
      </c>
      <c r="E994" t="s">
        <v>74</v>
      </c>
      <c r="F994" t="s">
        <v>13139</v>
      </c>
      <c r="G994" t="s">
        <v>74</v>
      </c>
      <c r="H994" t="s">
        <v>74</v>
      </c>
      <c r="I994" t="s">
        <v>13140</v>
      </c>
      <c r="J994" t="s">
        <v>13095</v>
      </c>
      <c r="K994" t="s">
        <v>74</v>
      </c>
      <c r="L994" t="s">
        <v>74</v>
      </c>
      <c r="M994" t="s">
        <v>77</v>
      </c>
      <c r="N994" t="s">
        <v>120</v>
      </c>
      <c r="O994" t="s">
        <v>74</v>
      </c>
      <c r="P994" t="s">
        <v>74</v>
      </c>
      <c r="Q994" t="s">
        <v>74</v>
      </c>
      <c r="R994" t="s">
        <v>74</v>
      </c>
      <c r="S994" t="s">
        <v>74</v>
      </c>
      <c r="T994" t="s">
        <v>13141</v>
      </c>
      <c r="U994" t="s">
        <v>74</v>
      </c>
      <c r="V994" t="s">
        <v>13142</v>
      </c>
      <c r="W994" t="s">
        <v>13143</v>
      </c>
      <c r="X994" t="s">
        <v>13144</v>
      </c>
      <c r="Y994" t="s">
        <v>13145</v>
      </c>
      <c r="Z994" t="s">
        <v>74</v>
      </c>
      <c r="AA994" t="s">
        <v>74</v>
      </c>
      <c r="AB994" t="s">
        <v>74</v>
      </c>
      <c r="AC994" t="s">
        <v>74</v>
      </c>
      <c r="AD994" t="s">
        <v>74</v>
      </c>
      <c r="AE994" t="s">
        <v>74</v>
      </c>
      <c r="AF994" t="s">
        <v>74</v>
      </c>
      <c r="AG994">
        <v>23</v>
      </c>
      <c r="AH994">
        <v>7</v>
      </c>
      <c r="AI994">
        <v>7</v>
      </c>
      <c r="AJ994">
        <v>1</v>
      </c>
      <c r="AK994">
        <v>13</v>
      </c>
      <c r="AL994" t="s">
        <v>13104</v>
      </c>
      <c r="AM994" t="s">
        <v>13105</v>
      </c>
      <c r="AN994" t="s">
        <v>13106</v>
      </c>
      <c r="AO994" t="s">
        <v>13107</v>
      </c>
      <c r="AP994" t="s">
        <v>74</v>
      </c>
      <c r="AQ994" t="s">
        <v>74</v>
      </c>
      <c r="AR994" t="s">
        <v>13108</v>
      </c>
      <c r="AS994" t="s">
        <v>13109</v>
      </c>
      <c r="AT994" t="s">
        <v>74</v>
      </c>
      <c r="AU994">
        <v>2001</v>
      </c>
      <c r="AV994">
        <v>8</v>
      </c>
      <c r="AW994" t="s">
        <v>74</v>
      </c>
      <c r="AX994" t="s">
        <v>74</v>
      </c>
      <c r="AY994" t="s">
        <v>74</v>
      </c>
      <c r="AZ994" t="s">
        <v>74</v>
      </c>
      <c r="BA994" t="s">
        <v>74</v>
      </c>
      <c r="BB994">
        <v>75</v>
      </c>
      <c r="BC994">
        <v>92</v>
      </c>
      <c r="BD994" t="s">
        <v>74</v>
      </c>
      <c r="BE994" t="s">
        <v>74</v>
      </c>
      <c r="BF994" t="s">
        <v>74</v>
      </c>
      <c r="BG994" t="s">
        <v>74</v>
      </c>
      <c r="BH994" t="s">
        <v>74</v>
      </c>
      <c r="BI994">
        <v>18</v>
      </c>
      <c r="BJ994" t="s">
        <v>5948</v>
      </c>
      <c r="BK994" t="s">
        <v>88</v>
      </c>
      <c r="BL994" t="s">
        <v>5948</v>
      </c>
      <c r="BM994" t="s">
        <v>13110</v>
      </c>
      <c r="BN994" t="s">
        <v>74</v>
      </c>
      <c r="BO994" t="s">
        <v>74</v>
      </c>
      <c r="BP994" t="s">
        <v>74</v>
      </c>
      <c r="BQ994" t="s">
        <v>74</v>
      </c>
      <c r="BR994" t="s">
        <v>91</v>
      </c>
      <c r="BS994" t="s">
        <v>13146</v>
      </c>
      <c r="BT994" t="str">
        <f>HYPERLINK("https%3A%2F%2Fwww.webofscience.com%2Fwos%2Fwoscc%2Ffull-record%2FWOS:000172274600005","View Full Record in Web of Science")</f>
        <v>View Full Record in Web of Science</v>
      </c>
    </row>
    <row r="995" spans="1:72" x14ac:dyDescent="0.15">
      <c r="A995" t="s">
        <v>72</v>
      </c>
      <c r="B995" t="s">
        <v>13147</v>
      </c>
      <c r="C995" t="s">
        <v>74</v>
      </c>
      <c r="D995" t="s">
        <v>74</v>
      </c>
      <c r="E995" t="s">
        <v>74</v>
      </c>
      <c r="F995" t="s">
        <v>13147</v>
      </c>
      <c r="G995" t="s">
        <v>74</v>
      </c>
      <c r="H995" t="s">
        <v>74</v>
      </c>
      <c r="I995" t="s">
        <v>13148</v>
      </c>
      <c r="J995" t="s">
        <v>13095</v>
      </c>
      <c r="K995" t="s">
        <v>74</v>
      </c>
      <c r="L995" t="s">
        <v>74</v>
      </c>
      <c r="M995" t="s">
        <v>77</v>
      </c>
      <c r="N995" t="s">
        <v>120</v>
      </c>
      <c r="O995" t="s">
        <v>74</v>
      </c>
      <c r="P995" t="s">
        <v>74</v>
      </c>
      <c r="Q995" t="s">
        <v>74</v>
      </c>
      <c r="R995" t="s">
        <v>74</v>
      </c>
      <c r="S995" t="s">
        <v>74</v>
      </c>
      <c r="T995" t="s">
        <v>13149</v>
      </c>
      <c r="U995" t="s">
        <v>13150</v>
      </c>
      <c r="V995" t="s">
        <v>13151</v>
      </c>
      <c r="W995" t="s">
        <v>13152</v>
      </c>
      <c r="X995" t="s">
        <v>462</v>
      </c>
      <c r="Y995" t="s">
        <v>13153</v>
      </c>
      <c r="Z995" t="s">
        <v>13154</v>
      </c>
      <c r="AA995" t="s">
        <v>74</v>
      </c>
      <c r="AB995" t="s">
        <v>74</v>
      </c>
      <c r="AC995" t="s">
        <v>74</v>
      </c>
      <c r="AD995" t="s">
        <v>74</v>
      </c>
      <c r="AE995" t="s">
        <v>74</v>
      </c>
      <c r="AF995" t="s">
        <v>74</v>
      </c>
      <c r="AG995">
        <v>24</v>
      </c>
      <c r="AH995">
        <v>14</v>
      </c>
      <c r="AI995">
        <v>14</v>
      </c>
      <c r="AJ995">
        <v>0</v>
      </c>
      <c r="AK995">
        <v>2</v>
      </c>
      <c r="AL995" t="s">
        <v>13104</v>
      </c>
      <c r="AM995" t="s">
        <v>13105</v>
      </c>
      <c r="AN995" t="s">
        <v>13106</v>
      </c>
      <c r="AO995" t="s">
        <v>13107</v>
      </c>
      <c r="AP995" t="s">
        <v>74</v>
      </c>
      <c r="AQ995" t="s">
        <v>74</v>
      </c>
      <c r="AR995" t="s">
        <v>13108</v>
      </c>
      <c r="AS995" t="s">
        <v>13109</v>
      </c>
      <c r="AT995" t="s">
        <v>74</v>
      </c>
      <c r="AU995">
        <v>2001</v>
      </c>
      <c r="AV995">
        <v>8</v>
      </c>
      <c r="AW995" t="s">
        <v>74</v>
      </c>
      <c r="AX995" t="s">
        <v>74</v>
      </c>
      <c r="AY995" t="s">
        <v>74</v>
      </c>
      <c r="AZ995" t="s">
        <v>74</v>
      </c>
      <c r="BA995" t="s">
        <v>74</v>
      </c>
      <c r="BB995">
        <v>107</v>
      </c>
      <c r="BC995">
        <v>118</v>
      </c>
      <c r="BD995" t="s">
        <v>74</v>
      </c>
      <c r="BE995" t="s">
        <v>74</v>
      </c>
      <c r="BF995" t="s">
        <v>74</v>
      </c>
      <c r="BG995" t="s">
        <v>74</v>
      </c>
      <c r="BH995" t="s">
        <v>74</v>
      </c>
      <c r="BI995">
        <v>12</v>
      </c>
      <c r="BJ995" t="s">
        <v>5948</v>
      </c>
      <c r="BK995" t="s">
        <v>88</v>
      </c>
      <c r="BL995" t="s">
        <v>5948</v>
      </c>
      <c r="BM995" t="s">
        <v>13110</v>
      </c>
      <c r="BN995" t="s">
        <v>74</v>
      </c>
      <c r="BO995" t="s">
        <v>74</v>
      </c>
      <c r="BP995" t="s">
        <v>74</v>
      </c>
      <c r="BQ995" t="s">
        <v>74</v>
      </c>
      <c r="BR995" t="s">
        <v>91</v>
      </c>
      <c r="BS995" t="s">
        <v>13155</v>
      </c>
      <c r="BT995" t="str">
        <f>HYPERLINK("https%3A%2F%2Fwww.webofscience.com%2Fwos%2Fwoscc%2Ffull-record%2FWOS:000172274600007","View Full Record in Web of Science")</f>
        <v>View Full Record in Web of Science</v>
      </c>
    </row>
    <row r="996" spans="1:72" x14ac:dyDescent="0.15">
      <c r="A996" t="s">
        <v>72</v>
      </c>
      <c r="B996" t="s">
        <v>13156</v>
      </c>
      <c r="C996" t="s">
        <v>74</v>
      </c>
      <c r="D996" t="s">
        <v>74</v>
      </c>
      <c r="E996" t="s">
        <v>74</v>
      </c>
      <c r="F996" t="s">
        <v>13156</v>
      </c>
      <c r="G996" t="s">
        <v>74</v>
      </c>
      <c r="H996" t="s">
        <v>74</v>
      </c>
      <c r="I996" t="s">
        <v>13157</v>
      </c>
      <c r="J996" t="s">
        <v>13095</v>
      </c>
      <c r="K996" t="s">
        <v>74</v>
      </c>
      <c r="L996" t="s">
        <v>74</v>
      </c>
      <c r="M996" t="s">
        <v>77</v>
      </c>
      <c r="N996" t="s">
        <v>120</v>
      </c>
      <c r="O996" t="s">
        <v>74</v>
      </c>
      <c r="P996" t="s">
        <v>74</v>
      </c>
      <c r="Q996" t="s">
        <v>74</v>
      </c>
      <c r="R996" t="s">
        <v>74</v>
      </c>
      <c r="S996" t="s">
        <v>74</v>
      </c>
      <c r="T996" t="s">
        <v>13158</v>
      </c>
      <c r="U996" t="s">
        <v>74</v>
      </c>
      <c r="V996" t="s">
        <v>13159</v>
      </c>
      <c r="W996" t="s">
        <v>13160</v>
      </c>
      <c r="X996" t="s">
        <v>462</v>
      </c>
      <c r="Y996" t="s">
        <v>3374</v>
      </c>
      <c r="Z996" t="s">
        <v>13154</v>
      </c>
      <c r="AA996" t="s">
        <v>74</v>
      </c>
      <c r="AB996" t="s">
        <v>74</v>
      </c>
      <c r="AC996" t="s">
        <v>74</v>
      </c>
      <c r="AD996" t="s">
        <v>74</v>
      </c>
      <c r="AE996" t="s">
        <v>74</v>
      </c>
      <c r="AF996" t="s">
        <v>74</v>
      </c>
      <c r="AG996">
        <v>18</v>
      </c>
      <c r="AH996">
        <v>12</v>
      </c>
      <c r="AI996">
        <v>13</v>
      </c>
      <c r="AJ996">
        <v>1</v>
      </c>
      <c r="AK996">
        <v>1</v>
      </c>
      <c r="AL996" t="s">
        <v>13104</v>
      </c>
      <c r="AM996" t="s">
        <v>13105</v>
      </c>
      <c r="AN996" t="s">
        <v>13106</v>
      </c>
      <c r="AO996" t="s">
        <v>13107</v>
      </c>
      <c r="AP996" t="s">
        <v>74</v>
      </c>
      <c r="AQ996" t="s">
        <v>74</v>
      </c>
      <c r="AR996" t="s">
        <v>13108</v>
      </c>
      <c r="AS996" t="s">
        <v>13109</v>
      </c>
      <c r="AT996" t="s">
        <v>74</v>
      </c>
      <c r="AU996">
        <v>2001</v>
      </c>
      <c r="AV996">
        <v>8</v>
      </c>
      <c r="AW996" t="s">
        <v>74</v>
      </c>
      <c r="AX996" t="s">
        <v>74</v>
      </c>
      <c r="AY996" t="s">
        <v>74</v>
      </c>
      <c r="AZ996" t="s">
        <v>74</v>
      </c>
      <c r="BA996" t="s">
        <v>74</v>
      </c>
      <c r="BB996">
        <v>119</v>
      </c>
      <c r="BC996">
        <v>132</v>
      </c>
      <c r="BD996" t="s">
        <v>74</v>
      </c>
      <c r="BE996" t="s">
        <v>74</v>
      </c>
      <c r="BF996" t="s">
        <v>74</v>
      </c>
      <c r="BG996" t="s">
        <v>74</v>
      </c>
      <c r="BH996" t="s">
        <v>74</v>
      </c>
      <c r="BI996">
        <v>14</v>
      </c>
      <c r="BJ996" t="s">
        <v>5948</v>
      </c>
      <c r="BK996" t="s">
        <v>88</v>
      </c>
      <c r="BL996" t="s">
        <v>5948</v>
      </c>
      <c r="BM996" t="s">
        <v>13110</v>
      </c>
      <c r="BN996" t="s">
        <v>74</v>
      </c>
      <c r="BO996" t="s">
        <v>74</v>
      </c>
      <c r="BP996" t="s">
        <v>74</v>
      </c>
      <c r="BQ996" t="s">
        <v>74</v>
      </c>
      <c r="BR996" t="s">
        <v>91</v>
      </c>
      <c r="BS996" t="s">
        <v>13161</v>
      </c>
      <c r="BT996" t="str">
        <f>HYPERLINK("https%3A%2F%2Fwww.webofscience.com%2Fwos%2Fwoscc%2Ffull-record%2FWOS:000172274600008","View Full Record in Web of Science")</f>
        <v>View Full Record in Web of Science</v>
      </c>
    </row>
    <row r="997" spans="1:72" x14ac:dyDescent="0.15">
      <c r="A997" t="s">
        <v>72</v>
      </c>
      <c r="B997" t="s">
        <v>13162</v>
      </c>
      <c r="C997" t="s">
        <v>74</v>
      </c>
      <c r="D997" t="s">
        <v>74</v>
      </c>
      <c r="E997" t="s">
        <v>74</v>
      </c>
      <c r="F997" t="s">
        <v>13162</v>
      </c>
      <c r="G997" t="s">
        <v>74</v>
      </c>
      <c r="H997" t="s">
        <v>74</v>
      </c>
      <c r="I997" t="s">
        <v>13163</v>
      </c>
      <c r="J997" t="s">
        <v>13095</v>
      </c>
      <c r="K997" t="s">
        <v>74</v>
      </c>
      <c r="L997" t="s">
        <v>74</v>
      </c>
      <c r="M997" t="s">
        <v>77</v>
      </c>
      <c r="N997" t="s">
        <v>120</v>
      </c>
      <c r="O997" t="s">
        <v>74</v>
      </c>
      <c r="P997" t="s">
        <v>74</v>
      </c>
      <c r="Q997" t="s">
        <v>74</v>
      </c>
      <c r="R997" t="s">
        <v>74</v>
      </c>
      <c r="S997" t="s">
        <v>74</v>
      </c>
      <c r="T997" t="s">
        <v>13164</v>
      </c>
      <c r="U997" t="s">
        <v>13165</v>
      </c>
      <c r="V997" t="s">
        <v>13166</v>
      </c>
      <c r="W997" t="s">
        <v>13167</v>
      </c>
      <c r="X997" t="s">
        <v>4908</v>
      </c>
      <c r="Y997" t="s">
        <v>13168</v>
      </c>
      <c r="Z997" t="s">
        <v>13169</v>
      </c>
      <c r="AA997" t="s">
        <v>13170</v>
      </c>
      <c r="AB997" t="s">
        <v>13171</v>
      </c>
      <c r="AC997" t="s">
        <v>74</v>
      </c>
      <c r="AD997" t="s">
        <v>74</v>
      </c>
      <c r="AE997" t="s">
        <v>74</v>
      </c>
      <c r="AF997" t="s">
        <v>74</v>
      </c>
      <c r="AG997">
        <v>35</v>
      </c>
      <c r="AH997">
        <v>7</v>
      </c>
      <c r="AI997">
        <v>7</v>
      </c>
      <c r="AJ997">
        <v>0</v>
      </c>
      <c r="AK997">
        <v>9</v>
      </c>
      <c r="AL997" t="s">
        <v>13104</v>
      </c>
      <c r="AM997" t="s">
        <v>13105</v>
      </c>
      <c r="AN997" t="s">
        <v>13106</v>
      </c>
      <c r="AO997" t="s">
        <v>13107</v>
      </c>
      <c r="AP997" t="s">
        <v>74</v>
      </c>
      <c r="AQ997" t="s">
        <v>74</v>
      </c>
      <c r="AR997" t="s">
        <v>13108</v>
      </c>
      <c r="AS997" t="s">
        <v>13109</v>
      </c>
      <c r="AT997" t="s">
        <v>74</v>
      </c>
      <c r="AU997">
        <v>2001</v>
      </c>
      <c r="AV997">
        <v>8</v>
      </c>
      <c r="AW997" t="s">
        <v>74</v>
      </c>
      <c r="AX997" t="s">
        <v>74</v>
      </c>
      <c r="AY997" t="s">
        <v>74</v>
      </c>
      <c r="AZ997" t="s">
        <v>74</v>
      </c>
      <c r="BA997" t="s">
        <v>74</v>
      </c>
      <c r="BB997">
        <v>147</v>
      </c>
      <c r="BC997">
        <v>154</v>
      </c>
      <c r="BD997" t="s">
        <v>74</v>
      </c>
      <c r="BE997" t="s">
        <v>74</v>
      </c>
      <c r="BF997" t="s">
        <v>74</v>
      </c>
      <c r="BG997" t="s">
        <v>74</v>
      </c>
      <c r="BH997" t="s">
        <v>74</v>
      </c>
      <c r="BI997">
        <v>8</v>
      </c>
      <c r="BJ997" t="s">
        <v>5948</v>
      </c>
      <c r="BK997" t="s">
        <v>88</v>
      </c>
      <c r="BL997" t="s">
        <v>5948</v>
      </c>
      <c r="BM997" t="s">
        <v>13110</v>
      </c>
      <c r="BN997" t="s">
        <v>74</v>
      </c>
      <c r="BO997" t="s">
        <v>74</v>
      </c>
      <c r="BP997" t="s">
        <v>74</v>
      </c>
      <c r="BQ997" t="s">
        <v>74</v>
      </c>
      <c r="BR997" t="s">
        <v>91</v>
      </c>
      <c r="BS997" t="s">
        <v>13172</v>
      </c>
      <c r="BT997" t="str">
        <f>HYPERLINK("https%3A%2F%2Fwww.webofscience.com%2Fwos%2Fwoscc%2Ffull-record%2FWOS:000172274600010","View Full Record in Web of Science")</f>
        <v>View Full Record in Web of Science</v>
      </c>
    </row>
    <row r="998" spans="1:72" x14ac:dyDescent="0.15">
      <c r="A998" t="s">
        <v>72</v>
      </c>
      <c r="B998" t="s">
        <v>13173</v>
      </c>
      <c r="C998" t="s">
        <v>74</v>
      </c>
      <c r="D998" t="s">
        <v>74</v>
      </c>
      <c r="E998" t="s">
        <v>74</v>
      </c>
      <c r="F998" t="s">
        <v>13173</v>
      </c>
      <c r="G998" t="s">
        <v>74</v>
      </c>
      <c r="H998" t="s">
        <v>74</v>
      </c>
      <c r="I998" t="s">
        <v>13174</v>
      </c>
      <c r="J998" t="s">
        <v>13095</v>
      </c>
      <c r="K998" t="s">
        <v>74</v>
      </c>
      <c r="L998" t="s">
        <v>74</v>
      </c>
      <c r="M998" t="s">
        <v>77</v>
      </c>
      <c r="N998" t="s">
        <v>120</v>
      </c>
      <c r="O998" t="s">
        <v>74</v>
      </c>
      <c r="P998" t="s">
        <v>74</v>
      </c>
      <c r="Q998" t="s">
        <v>74</v>
      </c>
      <c r="R998" t="s">
        <v>74</v>
      </c>
      <c r="S998" t="s">
        <v>74</v>
      </c>
      <c r="T998" t="s">
        <v>13175</v>
      </c>
      <c r="U998" t="s">
        <v>13176</v>
      </c>
      <c r="V998" t="s">
        <v>13177</v>
      </c>
      <c r="W998" t="s">
        <v>461</v>
      </c>
      <c r="X998" t="s">
        <v>462</v>
      </c>
      <c r="Y998" t="s">
        <v>10996</v>
      </c>
      <c r="Z998" t="s">
        <v>74</v>
      </c>
      <c r="AA998" t="s">
        <v>13178</v>
      </c>
      <c r="AB998" t="s">
        <v>13179</v>
      </c>
      <c r="AC998" t="s">
        <v>74</v>
      </c>
      <c r="AD998" t="s">
        <v>74</v>
      </c>
      <c r="AE998" t="s">
        <v>74</v>
      </c>
      <c r="AF998" t="s">
        <v>74</v>
      </c>
      <c r="AG998">
        <v>18</v>
      </c>
      <c r="AH998">
        <v>9</v>
      </c>
      <c r="AI998">
        <v>10</v>
      </c>
      <c r="AJ998">
        <v>0</v>
      </c>
      <c r="AK998">
        <v>3</v>
      </c>
      <c r="AL998" t="s">
        <v>13104</v>
      </c>
      <c r="AM998" t="s">
        <v>13105</v>
      </c>
      <c r="AN998" t="s">
        <v>13106</v>
      </c>
      <c r="AO998" t="s">
        <v>13107</v>
      </c>
      <c r="AP998" t="s">
        <v>74</v>
      </c>
      <c r="AQ998" t="s">
        <v>74</v>
      </c>
      <c r="AR998" t="s">
        <v>13108</v>
      </c>
      <c r="AS998" t="s">
        <v>13109</v>
      </c>
      <c r="AT998" t="s">
        <v>74</v>
      </c>
      <c r="AU998">
        <v>2001</v>
      </c>
      <c r="AV998">
        <v>8</v>
      </c>
      <c r="AW998" t="s">
        <v>74</v>
      </c>
      <c r="AX998" t="s">
        <v>74</v>
      </c>
      <c r="AY998" t="s">
        <v>74</v>
      </c>
      <c r="AZ998" t="s">
        <v>74</v>
      </c>
      <c r="BA998" t="s">
        <v>74</v>
      </c>
      <c r="BB998">
        <v>155</v>
      </c>
      <c r="BC998">
        <v>163</v>
      </c>
      <c r="BD998" t="s">
        <v>74</v>
      </c>
      <c r="BE998" t="s">
        <v>74</v>
      </c>
      <c r="BF998" t="s">
        <v>74</v>
      </c>
      <c r="BG998" t="s">
        <v>74</v>
      </c>
      <c r="BH998" t="s">
        <v>74</v>
      </c>
      <c r="BI998">
        <v>9</v>
      </c>
      <c r="BJ998" t="s">
        <v>5948</v>
      </c>
      <c r="BK998" t="s">
        <v>88</v>
      </c>
      <c r="BL998" t="s">
        <v>5948</v>
      </c>
      <c r="BM998" t="s">
        <v>13110</v>
      </c>
      <c r="BN998" t="s">
        <v>74</v>
      </c>
      <c r="BO998" t="s">
        <v>74</v>
      </c>
      <c r="BP998" t="s">
        <v>74</v>
      </c>
      <c r="BQ998" t="s">
        <v>74</v>
      </c>
      <c r="BR998" t="s">
        <v>91</v>
      </c>
      <c r="BS998" t="s">
        <v>13180</v>
      </c>
      <c r="BT998" t="str">
        <f>HYPERLINK("https%3A%2F%2Fwww.webofscience.com%2Fwos%2Fwoscc%2Ffull-record%2FWOS:000172274600011","View Full Record in Web of Science")</f>
        <v>View Full Record in Web of Science</v>
      </c>
    </row>
    <row r="999" spans="1:72" x14ac:dyDescent="0.15">
      <c r="A999" t="s">
        <v>12327</v>
      </c>
      <c r="B999" t="s">
        <v>13181</v>
      </c>
      <c r="C999" t="s">
        <v>74</v>
      </c>
      <c r="D999" t="s">
        <v>13182</v>
      </c>
      <c r="E999" t="s">
        <v>74</v>
      </c>
      <c r="F999" t="s">
        <v>13181</v>
      </c>
      <c r="G999" t="s">
        <v>74</v>
      </c>
      <c r="H999" t="s">
        <v>74</v>
      </c>
      <c r="I999" t="s">
        <v>13183</v>
      </c>
      <c r="J999" t="s">
        <v>13184</v>
      </c>
      <c r="K999" t="s">
        <v>13185</v>
      </c>
      <c r="L999" t="s">
        <v>74</v>
      </c>
      <c r="M999" t="s">
        <v>77</v>
      </c>
      <c r="N999" t="s">
        <v>12333</v>
      </c>
      <c r="O999" t="s">
        <v>13186</v>
      </c>
      <c r="P999" t="s">
        <v>13187</v>
      </c>
      <c r="Q999" t="s">
        <v>13188</v>
      </c>
      <c r="R999" t="s">
        <v>74</v>
      </c>
      <c r="S999" t="s">
        <v>13189</v>
      </c>
      <c r="T999" t="s">
        <v>74</v>
      </c>
      <c r="U999" t="s">
        <v>13190</v>
      </c>
      <c r="V999" t="s">
        <v>74</v>
      </c>
      <c r="W999" t="s">
        <v>13191</v>
      </c>
      <c r="X999" t="s">
        <v>13192</v>
      </c>
      <c r="Y999" t="s">
        <v>13193</v>
      </c>
      <c r="Z999" t="s">
        <v>74</v>
      </c>
      <c r="AA999" t="s">
        <v>74</v>
      </c>
      <c r="AB999" t="s">
        <v>74</v>
      </c>
      <c r="AC999" t="s">
        <v>74</v>
      </c>
      <c r="AD999" t="s">
        <v>74</v>
      </c>
      <c r="AE999" t="s">
        <v>74</v>
      </c>
      <c r="AF999" t="s">
        <v>74</v>
      </c>
      <c r="AG999">
        <v>32</v>
      </c>
      <c r="AH999">
        <v>3</v>
      </c>
      <c r="AI999">
        <v>3</v>
      </c>
      <c r="AJ999">
        <v>0</v>
      </c>
      <c r="AK999">
        <v>2</v>
      </c>
      <c r="AL999" t="s">
        <v>13194</v>
      </c>
      <c r="AM999" t="s">
        <v>204</v>
      </c>
      <c r="AN999" t="s">
        <v>1622</v>
      </c>
      <c r="AO999" t="s">
        <v>74</v>
      </c>
      <c r="AP999" t="s">
        <v>74</v>
      </c>
      <c r="AQ999" t="s">
        <v>13195</v>
      </c>
      <c r="AR999" t="s">
        <v>13196</v>
      </c>
      <c r="AS999" t="s">
        <v>74</v>
      </c>
      <c r="AT999" t="s">
        <v>74</v>
      </c>
      <c r="AU999">
        <v>2001</v>
      </c>
      <c r="AV999">
        <v>9</v>
      </c>
      <c r="AW999" t="s">
        <v>74</v>
      </c>
      <c r="AX999" t="s">
        <v>74</v>
      </c>
      <c r="AY999" t="s">
        <v>74</v>
      </c>
      <c r="AZ999" t="s">
        <v>74</v>
      </c>
      <c r="BA999" t="s">
        <v>74</v>
      </c>
      <c r="BB999">
        <v>27</v>
      </c>
      <c r="BC999">
        <v>33</v>
      </c>
      <c r="BD999" t="s">
        <v>74</v>
      </c>
      <c r="BE999" t="s">
        <v>74</v>
      </c>
      <c r="BF999" t="s">
        <v>74</v>
      </c>
      <c r="BG999" t="s">
        <v>74</v>
      </c>
      <c r="BH999" t="s">
        <v>74</v>
      </c>
      <c r="BI999">
        <v>7</v>
      </c>
      <c r="BJ999" t="s">
        <v>13197</v>
      </c>
      <c r="BK999" t="s">
        <v>12345</v>
      </c>
      <c r="BL999" t="s">
        <v>13198</v>
      </c>
      <c r="BM999" t="s">
        <v>13199</v>
      </c>
      <c r="BN999" t="s">
        <v>74</v>
      </c>
      <c r="BO999" t="s">
        <v>74</v>
      </c>
      <c r="BP999" t="s">
        <v>74</v>
      </c>
      <c r="BQ999" t="s">
        <v>74</v>
      </c>
      <c r="BR999" t="s">
        <v>91</v>
      </c>
      <c r="BS999" t="s">
        <v>13200</v>
      </c>
      <c r="BT999" t="str">
        <f>HYPERLINK("https%3A%2F%2Fwww.webofscience.com%2Fwos%2Fwoscc%2Ffull-record%2FWOS:000174432200004","View Full Record in Web of Science")</f>
        <v>View Full Record in Web of Science</v>
      </c>
    </row>
    <row r="1000" spans="1:72" x14ac:dyDescent="0.15">
      <c r="A1000" t="s">
        <v>72</v>
      </c>
      <c r="B1000" t="s">
        <v>13201</v>
      </c>
      <c r="C1000" t="s">
        <v>74</v>
      </c>
      <c r="D1000" t="s">
        <v>74</v>
      </c>
      <c r="E1000" t="s">
        <v>74</v>
      </c>
      <c r="F1000" t="s">
        <v>13201</v>
      </c>
      <c r="G1000" t="s">
        <v>74</v>
      </c>
      <c r="H1000" t="s">
        <v>74</v>
      </c>
      <c r="I1000" t="s">
        <v>13202</v>
      </c>
      <c r="J1000" t="s">
        <v>13203</v>
      </c>
      <c r="K1000" t="s">
        <v>74</v>
      </c>
      <c r="L1000" t="s">
        <v>74</v>
      </c>
      <c r="M1000" t="s">
        <v>9027</v>
      </c>
      <c r="N1000" t="s">
        <v>120</v>
      </c>
      <c r="O1000" t="s">
        <v>74</v>
      </c>
      <c r="P1000" t="s">
        <v>74</v>
      </c>
      <c r="Q1000" t="s">
        <v>74</v>
      </c>
      <c r="R1000" t="s">
        <v>74</v>
      </c>
      <c r="S1000" t="s">
        <v>74</v>
      </c>
      <c r="T1000" t="s">
        <v>13204</v>
      </c>
      <c r="U1000" t="s">
        <v>13205</v>
      </c>
      <c r="V1000" t="s">
        <v>13206</v>
      </c>
      <c r="W1000" t="s">
        <v>13207</v>
      </c>
      <c r="X1000" t="s">
        <v>13208</v>
      </c>
      <c r="Y1000" t="s">
        <v>13209</v>
      </c>
      <c r="Z1000" t="s">
        <v>74</v>
      </c>
      <c r="AA1000" t="s">
        <v>74</v>
      </c>
      <c r="AB1000" t="s">
        <v>74</v>
      </c>
      <c r="AC1000" t="s">
        <v>74</v>
      </c>
      <c r="AD1000" t="s">
        <v>74</v>
      </c>
      <c r="AE1000" t="s">
        <v>74</v>
      </c>
      <c r="AF1000" t="s">
        <v>74</v>
      </c>
      <c r="AG1000">
        <v>15</v>
      </c>
      <c r="AH1000">
        <v>3</v>
      </c>
      <c r="AI1000">
        <v>4</v>
      </c>
      <c r="AJ1000">
        <v>0</v>
      </c>
      <c r="AK1000">
        <v>2</v>
      </c>
      <c r="AL1000" t="s">
        <v>292</v>
      </c>
      <c r="AM1000" t="s">
        <v>293</v>
      </c>
      <c r="AN1000" t="s">
        <v>294</v>
      </c>
      <c r="AO1000" t="s">
        <v>13210</v>
      </c>
      <c r="AP1000" t="s">
        <v>74</v>
      </c>
      <c r="AQ1000" t="s">
        <v>74</v>
      </c>
      <c r="AR1000" t="s">
        <v>13211</v>
      </c>
      <c r="AS1000" t="s">
        <v>13212</v>
      </c>
      <c r="AT1000" t="s">
        <v>74</v>
      </c>
      <c r="AU1000">
        <v>2001</v>
      </c>
      <c r="AV1000">
        <v>44</v>
      </c>
      <c r="AW1000" t="s">
        <v>74</v>
      </c>
      <c r="AX1000" t="s">
        <v>74</v>
      </c>
      <c r="AY1000" t="s">
        <v>298</v>
      </c>
      <c r="AZ1000" t="s">
        <v>74</v>
      </c>
      <c r="BA1000" t="s">
        <v>74</v>
      </c>
      <c r="BB1000">
        <v>8</v>
      </c>
      <c r="BC1000">
        <v>15</v>
      </c>
      <c r="BD1000" t="s">
        <v>74</v>
      </c>
      <c r="BE1000" t="s">
        <v>74</v>
      </c>
      <c r="BF1000" t="s">
        <v>74</v>
      </c>
      <c r="BG1000" t="s">
        <v>74</v>
      </c>
      <c r="BH1000" t="s">
        <v>74</v>
      </c>
      <c r="BI1000">
        <v>8</v>
      </c>
      <c r="BJ1000" t="s">
        <v>388</v>
      </c>
      <c r="BK1000" t="s">
        <v>88</v>
      </c>
      <c r="BL1000" t="s">
        <v>388</v>
      </c>
      <c r="BM1000" t="s">
        <v>13213</v>
      </c>
      <c r="BN1000" t="s">
        <v>74</v>
      </c>
      <c r="BO1000" t="s">
        <v>74</v>
      </c>
      <c r="BP1000" t="s">
        <v>74</v>
      </c>
      <c r="BQ1000" t="s">
        <v>74</v>
      </c>
      <c r="BR1000" t="s">
        <v>91</v>
      </c>
      <c r="BS1000" t="s">
        <v>13214</v>
      </c>
      <c r="BT1000" t="str">
        <f>HYPERLINK("https%3A%2F%2Fwww.webofscience.com%2Fwos%2Fwoscc%2Ffull-record%2FWOS:000173600300002","View Full Record in Web of Science")</f>
        <v>View Full Record in Web of Science</v>
      </c>
    </row>
    <row r="1001" spans="1:72" x14ac:dyDescent="0.15">
      <c r="A1001" t="s">
        <v>72</v>
      </c>
      <c r="B1001" t="s">
        <v>13201</v>
      </c>
      <c r="C1001" t="s">
        <v>74</v>
      </c>
      <c r="D1001" t="s">
        <v>74</v>
      </c>
      <c r="E1001" t="s">
        <v>74</v>
      </c>
      <c r="F1001" t="s">
        <v>13201</v>
      </c>
      <c r="G1001" t="s">
        <v>74</v>
      </c>
      <c r="H1001" t="s">
        <v>74</v>
      </c>
      <c r="I1001" t="s">
        <v>13215</v>
      </c>
      <c r="J1001" t="s">
        <v>13203</v>
      </c>
      <c r="K1001" t="s">
        <v>74</v>
      </c>
      <c r="L1001" t="s">
        <v>74</v>
      </c>
      <c r="M1001" t="s">
        <v>9027</v>
      </c>
      <c r="N1001" t="s">
        <v>120</v>
      </c>
      <c r="O1001" t="s">
        <v>74</v>
      </c>
      <c r="P1001" t="s">
        <v>74</v>
      </c>
      <c r="Q1001" t="s">
        <v>74</v>
      </c>
      <c r="R1001" t="s">
        <v>74</v>
      </c>
      <c r="S1001" t="s">
        <v>74</v>
      </c>
      <c r="T1001" t="s">
        <v>13216</v>
      </c>
      <c r="U1001" t="s">
        <v>74</v>
      </c>
      <c r="V1001" t="s">
        <v>13217</v>
      </c>
      <c r="W1001" t="s">
        <v>13207</v>
      </c>
      <c r="X1001" t="s">
        <v>13208</v>
      </c>
      <c r="Y1001" t="s">
        <v>13209</v>
      </c>
      <c r="Z1001" t="s">
        <v>74</v>
      </c>
      <c r="AA1001" t="s">
        <v>74</v>
      </c>
      <c r="AB1001" t="s">
        <v>74</v>
      </c>
      <c r="AC1001" t="s">
        <v>74</v>
      </c>
      <c r="AD1001" t="s">
        <v>74</v>
      </c>
      <c r="AE1001" t="s">
        <v>74</v>
      </c>
      <c r="AF1001" t="s">
        <v>74</v>
      </c>
      <c r="AG1001">
        <v>9</v>
      </c>
      <c r="AH1001">
        <v>1</v>
      </c>
      <c r="AI1001">
        <v>2</v>
      </c>
      <c r="AJ1001">
        <v>0</v>
      </c>
      <c r="AK1001">
        <v>2</v>
      </c>
      <c r="AL1001" t="s">
        <v>292</v>
      </c>
      <c r="AM1001" t="s">
        <v>293</v>
      </c>
      <c r="AN1001" t="s">
        <v>294</v>
      </c>
      <c r="AO1001" t="s">
        <v>13210</v>
      </c>
      <c r="AP1001" t="s">
        <v>74</v>
      </c>
      <c r="AQ1001" t="s">
        <v>74</v>
      </c>
      <c r="AR1001" t="s">
        <v>13211</v>
      </c>
      <c r="AS1001" t="s">
        <v>13212</v>
      </c>
      <c r="AT1001" t="s">
        <v>74</v>
      </c>
      <c r="AU1001">
        <v>2001</v>
      </c>
      <c r="AV1001">
        <v>44</v>
      </c>
      <c r="AW1001" t="s">
        <v>74</v>
      </c>
      <c r="AX1001" t="s">
        <v>74</v>
      </c>
      <c r="AY1001" t="s">
        <v>298</v>
      </c>
      <c r="AZ1001" t="s">
        <v>74</v>
      </c>
      <c r="BA1001" t="s">
        <v>74</v>
      </c>
      <c r="BB1001">
        <v>16</v>
      </c>
      <c r="BC1001">
        <v>21</v>
      </c>
      <c r="BD1001" t="s">
        <v>74</v>
      </c>
      <c r="BE1001" t="s">
        <v>74</v>
      </c>
      <c r="BF1001" t="s">
        <v>74</v>
      </c>
      <c r="BG1001" t="s">
        <v>74</v>
      </c>
      <c r="BH1001" t="s">
        <v>74</v>
      </c>
      <c r="BI1001">
        <v>6</v>
      </c>
      <c r="BJ1001" t="s">
        <v>388</v>
      </c>
      <c r="BK1001" t="s">
        <v>88</v>
      </c>
      <c r="BL1001" t="s">
        <v>388</v>
      </c>
      <c r="BM1001" t="s">
        <v>13213</v>
      </c>
      <c r="BN1001" t="s">
        <v>74</v>
      </c>
      <c r="BO1001" t="s">
        <v>74</v>
      </c>
      <c r="BP1001" t="s">
        <v>74</v>
      </c>
      <c r="BQ1001" t="s">
        <v>74</v>
      </c>
      <c r="BR1001" t="s">
        <v>91</v>
      </c>
      <c r="BS1001" t="s">
        <v>13218</v>
      </c>
      <c r="BT1001" t="str">
        <f>HYPERLINK("https%3A%2F%2Fwww.webofscience.com%2Fwos%2Fwoscc%2Ffull-record%2FWOS:000173600300003","View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2024-07-28T15:26:35Z</dcterms:created>
  <dcterms:modified xsi:type="dcterms:W3CDTF">2024-07-28T15:26:35Z</dcterms:modified>
</cp:coreProperties>
</file>